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sapservicecombr-my.sharepoint.com/personal/spalazzo_sapservice_com_br/Documents/Documentos/Planilhas de Custo de Obras 2,09 GB/MND/HDD/Orçamentos HDD para comparação com Mohammad/Mohammad-Motta/"/>
    </mc:Choice>
  </mc:AlternateContent>
  <xr:revisionPtr revIDLastSave="2" documentId="8_{C38A19C0-B11F-4348-878B-B20B58E99334}" xr6:coauthVersionLast="47" xr6:coauthVersionMax="47" xr10:uidLastSave="{1CC6BBFA-29D3-4C15-92B8-1E2385002492}"/>
  <bookViews>
    <workbookView xWindow="-108" yWindow="-108" windowWidth="23256" windowHeight="12456" activeTab="4" xr2:uid="{00000000-000D-0000-FFFF-FFFF00000000}"/>
  </bookViews>
  <sheets>
    <sheet name=" Imp - BR" sheetId="1" r:id="rId1"/>
    <sheet name="MNDI" sheetId="2" r:id="rId2"/>
    <sheet name="MNDR" sheetId="3" r:id="rId3"/>
    <sheet name="VCA" sheetId="4" r:id="rId4"/>
    <sheet name="CUSTO MÉDIO TABELA 1.29 PG 39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5" l="1"/>
  <c r="L12" i="5"/>
  <c r="P12" i="5"/>
  <c r="H13" i="5"/>
  <c r="I13" i="5"/>
  <c r="L13" i="5"/>
  <c r="M13" i="5"/>
  <c r="P13" i="5"/>
  <c r="F14" i="5"/>
  <c r="J14" i="5"/>
  <c r="N14" i="5"/>
  <c r="K15" i="5"/>
  <c r="O15" i="5"/>
  <c r="F16" i="5"/>
  <c r="G16" i="5"/>
  <c r="H16" i="5"/>
  <c r="J16" i="5"/>
  <c r="K16" i="5"/>
  <c r="L16" i="5"/>
  <c r="N16" i="5"/>
  <c r="O16" i="5"/>
  <c r="P16" i="5"/>
  <c r="H17" i="5"/>
  <c r="I17" i="5"/>
  <c r="L17" i="5"/>
  <c r="M17" i="5"/>
  <c r="P17" i="5"/>
  <c r="F18" i="5"/>
  <c r="H18" i="5"/>
  <c r="I18" i="5"/>
  <c r="J18" i="5"/>
  <c r="L18" i="5"/>
  <c r="M18" i="5"/>
  <c r="N18" i="5"/>
  <c r="P18" i="5"/>
  <c r="F19" i="5"/>
  <c r="G19" i="5"/>
  <c r="J19" i="5"/>
  <c r="K19" i="5"/>
  <c r="N19" i="5"/>
  <c r="O19" i="5"/>
  <c r="H20" i="5"/>
  <c r="L20" i="5"/>
  <c r="P20" i="5"/>
  <c r="I21" i="5"/>
  <c r="E12" i="5"/>
  <c r="E16" i="5"/>
  <c r="E18" i="5"/>
  <c r="E19" i="5"/>
  <c r="E20" i="5"/>
  <c r="D13" i="5"/>
  <c r="D14" i="5"/>
  <c r="D16" i="5"/>
  <c r="D17" i="5"/>
  <c r="D19" i="5"/>
  <c r="D18" i="5"/>
  <c r="C19" i="5"/>
  <c r="C18" i="5"/>
  <c r="C14" i="5"/>
  <c r="C16" i="5"/>
  <c r="C17" i="5"/>
  <c r="C13" i="5"/>
  <c r="B21" i="5"/>
  <c r="B15" i="5"/>
  <c r="A21" i="5"/>
  <c r="A19" i="5"/>
  <c r="A20" i="5"/>
  <c r="A18" i="5"/>
  <c r="A17" i="5"/>
  <c r="A13" i="5"/>
  <c r="A14" i="5"/>
  <c r="A15" i="5"/>
  <c r="A16" i="5"/>
  <c r="A12" i="5"/>
  <c r="H5" i="5"/>
  <c r="H19" i="5" s="1"/>
  <c r="H6" i="5"/>
  <c r="I20" i="5" s="1"/>
  <c r="H7" i="5"/>
  <c r="H4" i="5"/>
  <c r="G18" i="5" s="1"/>
  <c r="D5" i="5"/>
  <c r="F13" i="5" s="1"/>
  <c r="D6" i="5"/>
  <c r="G14" i="5" s="1"/>
  <c r="D7" i="5"/>
  <c r="D8" i="5"/>
  <c r="I16" i="5" s="1"/>
  <c r="D9" i="5"/>
  <c r="F17" i="5" s="1"/>
  <c r="D4" i="5"/>
  <c r="I12" i="5" s="1"/>
  <c r="H3" i="5"/>
  <c r="G3" i="5"/>
  <c r="G2" i="5"/>
  <c r="N6" i="4"/>
  <c r="M6" i="4"/>
  <c r="L6" i="4"/>
  <c r="N5" i="4"/>
  <c r="M5" i="4"/>
  <c r="L11" i="3"/>
  <c r="H15" i="5" l="1"/>
  <c r="L15" i="5"/>
  <c r="P15" i="5"/>
  <c r="D15" i="5"/>
  <c r="C15" i="5"/>
  <c r="I15" i="5"/>
  <c r="M15" i="5"/>
  <c r="F15" i="5"/>
  <c r="J15" i="5"/>
  <c r="N15" i="5"/>
  <c r="E15" i="5"/>
  <c r="G15" i="5"/>
  <c r="F21" i="5"/>
  <c r="J21" i="5"/>
  <c r="N21" i="5"/>
  <c r="E21" i="5"/>
  <c r="G21" i="5"/>
  <c r="K21" i="5"/>
  <c r="O21" i="5"/>
  <c r="D21" i="5"/>
  <c r="C21" i="5"/>
  <c r="H21" i="5"/>
  <c r="L21" i="5"/>
  <c r="P21" i="5"/>
  <c r="M21" i="5"/>
  <c r="B12" i="5"/>
  <c r="B14" i="5"/>
  <c r="B20" i="5"/>
  <c r="O20" i="5"/>
  <c r="K20" i="5"/>
  <c r="G20" i="5"/>
  <c r="M14" i="5"/>
  <c r="I14" i="5"/>
  <c r="O12" i="5"/>
  <c r="K12" i="5"/>
  <c r="G12" i="5"/>
  <c r="B17" i="5"/>
  <c r="B13" i="5"/>
  <c r="B19" i="5"/>
  <c r="D12" i="5"/>
  <c r="E14" i="5"/>
  <c r="N20" i="5"/>
  <c r="J20" i="5"/>
  <c r="F20" i="5"/>
  <c r="M19" i="5"/>
  <c r="I19" i="5"/>
  <c r="O17" i="5"/>
  <c r="K17" i="5"/>
  <c r="G17" i="5"/>
  <c r="P14" i="5"/>
  <c r="L14" i="5"/>
  <c r="H14" i="5"/>
  <c r="O13" i="5"/>
  <c r="K13" i="5"/>
  <c r="G13" i="5"/>
  <c r="N12" i="5"/>
  <c r="J12" i="5"/>
  <c r="F12" i="5"/>
  <c r="B16" i="5"/>
  <c r="B18" i="5"/>
  <c r="C12" i="5"/>
  <c r="C20" i="5"/>
  <c r="D20" i="5"/>
  <c r="E17" i="5"/>
  <c r="E13" i="5"/>
  <c r="M20" i="5"/>
  <c r="P19" i="5"/>
  <c r="L19" i="5"/>
  <c r="O18" i="5"/>
  <c r="K18" i="5"/>
  <c r="N17" i="5"/>
  <c r="J17" i="5"/>
  <c r="M16" i="5"/>
  <c r="O14" i="5"/>
  <c r="K14" i="5"/>
  <c r="N13" i="5"/>
  <c r="J13" i="5"/>
  <c r="M12" i="5"/>
  <c r="L10" i="3"/>
  <c r="L8" i="3"/>
  <c r="L6" i="3"/>
  <c r="N5" i="3"/>
  <c r="M5" i="3"/>
  <c r="M11" i="3" s="1"/>
  <c r="N5" i="2"/>
  <c r="N13" i="2" s="1"/>
  <c r="M5" i="2"/>
  <c r="M13" i="2"/>
  <c r="L13" i="2"/>
  <c r="N8" i="3" l="1"/>
  <c r="N11" i="3"/>
  <c r="M8" i="3"/>
  <c r="N6" i="3"/>
  <c r="M6" i="3"/>
  <c r="M10" i="3"/>
  <c r="N10" i="3"/>
  <c r="N12" i="2"/>
  <c r="M12" i="2"/>
  <c r="L12" i="2"/>
  <c r="N11" i="2"/>
  <c r="M11" i="2"/>
  <c r="L11" i="2"/>
  <c r="N6" i="2"/>
  <c r="N8" i="2" l="1"/>
  <c r="M8" i="2"/>
  <c r="L8" i="2"/>
  <c r="E10" i="2"/>
  <c r="E9" i="2"/>
  <c r="M6" i="2"/>
  <c r="L6" i="2"/>
  <c r="H27" i="1" l="1"/>
  <c r="H26" i="1"/>
  <c r="H23" i="1"/>
  <c r="H22" i="1"/>
  <c r="G26" i="1"/>
  <c r="G27" i="1" s="1"/>
  <c r="G23" i="1"/>
  <c r="G22" i="1"/>
  <c r="H20" i="1"/>
  <c r="G20" i="1"/>
  <c r="C26" i="1"/>
  <c r="C27" i="1" s="1"/>
  <c r="D25" i="1"/>
  <c r="C25" i="1"/>
  <c r="D24" i="1"/>
  <c r="C24" i="1"/>
  <c r="D23" i="1"/>
  <c r="D22" i="1"/>
  <c r="C23" i="1" s="1"/>
  <c r="C22" i="1"/>
  <c r="D20" i="1"/>
  <c r="C20" i="1"/>
</calcChain>
</file>

<file path=xl/sharedStrings.xml><?xml version="1.0" encoding="utf-8"?>
<sst xmlns="http://schemas.openxmlformats.org/spreadsheetml/2006/main" count="166" uniqueCount="72">
  <si>
    <t>Microtúnel</t>
  </si>
  <si>
    <t>de</t>
  </si>
  <si>
    <t>até</t>
  </si>
  <si>
    <t>Diâmetro (mm)</t>
  </si>
  <si>
    <t>Perfuração horizontal direcional</t>
  </si>
  <si>
    <t>Pequeno</t>
  </si>
  <si>
    <t>Médio</t>
  </si>
  <si>
    <t>Grande</t>
  </si>
  <si>
    <t>Microtúnel de tubo piloto</t>
  </si>
  <si>
    <t>Cravação de tubos</t>
  </si>
  <si>
    <t>Galerias técnicas</t>
  </si>
  <si>
    <t>Métodos não destrutivos de IMPLANTAÇÃO (MNDI)</t>
  </si>
  <si>
    <t>Métodos não destrutivos de IMPLANTAÇÃO (MNDR)</t>
  </si>
  <si>
    <t>CIPP</t>
  </si>
  <si>
    <t>Revestiemnto por inserção</t>
  </si>
  <si>
    <t>Contínuo</t>
  </si>
  <si>
    <t>Segmentado</t>
  </si>
  <si>
    <t>SIPP</t>
  </si>
  <si>
    <t>Substituição por arrebentamento</t>
  </si>
  <si>
    <t>Diâmetro (pol)</t>
  </si>
  <si>
    <t>MÉTODOS NÃO DESTRUTIVOS (MND)</t>
  </si>
  <si>
    <t>1 pol</t>
  </si>
  <si>
    <t>mm</t>
  </si>
  <si>
    <t>acima</t>
  </si>
  <si>
    <t>Perfuração horizontal direcional (HDD)</t>
  </si>
  <si>
    <t>Microtúnel de tubo piloto (PTMT)</t>
  </si>
  <si>
    <t>Galerias técnicas (UT)</t>
  </si>
  <si>
    <t>Tubulação curada in loco (CIPP)</t>
  </si>
  <si>
    <t>Tubo de Aspersão in loco (SIPP)</t>
  </si>
  <si>
    <t>TABELA 1.1 - Variedades de Diâmetro para Métodos Não Destrutivos (mm)</t>
  </si>
  <si>
    <t>Revestimento por inserção</t>
  </si>
  <si>
    <t>Materiais</t>
  </si>
  <si>
    <t>Aplicação Típica</t>
  </si>
  <si>
    <t>Comprimento (m)</t>
  </si>
  <si>
    <t>gravidade</t>
  </si>
  <si>
    <t>Precisão (cm)</t>
  </si>
  <si>
    <t>Tubo de Concreto Reforçado, Poliester Reforçado com Fibra de Vidro, Tubo de Argila Vitrificada, Ferro Fundido, Aço, Tubo de Concreto Polimérico</t>
  </si>
  <si>
    <t>Custo R$</t>
  </si>
  <si>
    <t>Diâmetro escolhido (mm)</t>
  </si>
  <si>
    <t>Custo R$/diâmetro (m)</t>
  </si>
  <si>
    <t>Custo R$/comprimento (m)</t>
  </si>
  <si>
    <t>Energia, Telecomunicações, Água e Gás</t>
  </si>
  <si>
    <t>Profundidade (m)</t>
  </si>
  <si>
    <t>p&lt; 4.572</t>
  </si>
  <si>
    <t>4.572&lt;p&lt;22.86</t>
  </si>
  <si>
    <t>p&lt;60.96</t>
  </si>
  <si>
    <t>Tubulações pressurizadas</t>
  </si>
  <si>
    <t>variável</t>
  </si>
  <si>
    <t>Comprimento escolhido (m)</t>
  </si>
  <si>
    <t>Tubulações pressurizadas/gravidade</t>
  </si>
  <si>
    <t>Tubo de Concreto Reforçado, Poliester Reforçado com Fibra de Vidro, Aço</t>
  </si>
  <si>
    <t>CIPP - TUBULAÇÃO CURADA IN LOCO</t>
  </si>
  <si>
    <t>INV LOCO</t>
  </si>
  <si>
    <t>GUINC</t>
  </si>
  <si>
    <t>Composto de tecido/resina termoconsolidada</t>
  </si>
  <si>
    <t>Revestimento por Inserção</t>
  </si>
  <si>
    <t>Polietileno de Alta Densidade (PeAD),Cloreto de Polivinila (PVC)</t>
  </si>
  <si>
    <t>Polietileno de Alta Densidade (PAD),Cloreto de Polivinila (PVC),  Poliester Reforçado com Fibra de Vidro</t>
  </si>
  <si>
    <t>SIPP - TUBO DE ASPERSÃO IN LOCO</t>
  </si>
  <si>
    <t>Argamassa de Cimento, Epóxi, Poliuréia ,Poliuretano</t>
  </si>
  <si>
    <t>Polietileno de Alta Densidade (PAD),Cloreto de Polivinila (PVC),  Tubo de Argila Vitrificada, Ferro Ductil, Poliester Reforçado com Fibra de Vidro</t>
  </si>
  <si>
    <t>TABELA 1.1 - Variedades de Diâmetro para Método Destrutivo - Vala a Céu Aberto VCA(mm)</t>
  </si>
  <si>
    <t>MÉTODO DESTRUTIVO (VCA)</t>
  </si>
  <si>
    <t>VCA</t>
  </si>
  <si>
    <t>livre</t>
  </si>
  <si>
    <t>TODOS</t>
  </si>
  <si>
    <t>Custo Médio Total</t>
  </si>
  <si>
    <t>U$/pol/pé</t>
  </si>
  <si>
    <t>R$/mm/m</t>
  </si>
  <si>
    <t>Escavação à Céu Aberto - VCA</t>
  </si>
  <si>
    <t>Diâmetro</t>
  </si>
  <si>
    <t>Métodos não destrutivos de RENOVAÇÃO (MNDR)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</si>
</sst>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2"/>
      <color rgb="FFFF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5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4">
    <xf numFmtId="0" fontId="0" fillId="0" borderId="0" xfId="0"/>
    <xf numFmtId="0" fontId="0" fillId="0" borderId="1" xfId="0" applyBorder="1" applyAlignment="1">
      <alignment horizontal="center"/>
    </xf>
    <xf numFmtId="0" fontId="1" fillId="2" borderId="0" xfId="0" applyFont="1" applyFill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3" fillId="10" borderId="16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6" xfId="0" applyBorder="1"/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4" fontId="0" fillId="9" borderId="6" xfId="1" applyFont="1" applyFill="1" applyBorder="1"/>
    <xf numFmtId="0" fontId="0" fillId="0" borderId="16" xfId="0" applyBorder="1"/>
    <xf numFmtId="0" fontId="0" fillId="0" borderId="1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1" fontId="0" fillId="0" borderId="23" xfId="0" applyNumberFormat="1" applyBorder="1"/>
    <xf numFmtId="1" fontId="0" fillId="0" borderId="31" xfId="0" applyNumberFormat="1" applyBorder="1"/>
    <xf numFmtId="0" fontId="0" fillId="0" borderId="32" xfId="0" applyBorder="1" applyAlignment="1">
      <alignment horizontal="center" vertical="center" wrapText="1"/>
    </xf>
    <xf numFmtId="1" fontId="0" fillId="0" borderId="25" xfId="0" applyNumberFormat="1" applyBorder="1"/>
    <xf numFmtId="0" fontId="0" fillId="3" borderId="0" xfId="0" applyFill="1"/>
    <xf numFmtId="1" fontId="0" fillId="0" borderId="22" xfId="0" applyNumberFormat="1" applyBorder="1" applyAlignment="1">
      <alignment horizontal="center"/>
    </xf>
    <xf numFmtId="1" fontId="0" fillId="0" borderId="30" xfId="0" applyNumberFormat="1" applyBorder="1" applyAlignment="1">
      <alignment horizontal="center"/>
    </xf>
    <xf numFmtId="1" fontId="0" fillId="0" borderId="24" xfId="0" applyNumberFormat="1" applyBorder="1" applyAlignment="1">
      <alignment horizontal="center"/>
    </xf>
    <xf numFmtId="0" fontId="0" fillId="3" borderId="7" xfId="0" applyFill="1" applyBorder="1"/>
    <xf numFmtId="0" fontId="0" fillId="3" borderId="19" xfId="0" applyFill="1" applyBorder="1"/>
    <xf numFmtId="0" fontId="0" fillId="3" borderId="8" xfId="0" applyFill="1" applyBorder="1"/>
    <xf numFmtId="1" fontId="1" fillId="0" borderId="22" xfId="0" applyNumberFormat="1" applyFont="1" applyBorder="1" applyAlignment="1">
      <alignment horizontal="center" vertical="center"/>
    </xf>
    <xf numFmtId="1" fontId="1" fillId="0" borderId="29" xfId="0" applyNumberFormat="1" applyFont="1" applyBorder="1" applyAlignment="1">
      <alignment horizontal="center" vertical="center"/>
    </xf>
    <xf numFmtId="1" fontId="1" fillId="0" borderId="23" xfId="0" applyNumberFormat="1" applyFont="1" applyBorder="1" applyAlignment="1">
      <alignment horizontal="center" vertical="center"/>
    </xf>
    <xf numFmtId="1" fontId="1" fillId="0" borderId="30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1" fillId="0" borderId="31" xfId="0" applyNumberFormat="1" applyFont="1" applyBorder="1" applyAlignment="1">
      <alignment horizontal="center" vertical="center"/>
    </xf>
    <xf numFmtId="1" fontId="1" fillId="0" borderId="24" xfId="0" applyNumberFormat="1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1" fontId="1" fillId="0" borderId="32" xfId="0" applyNumberFormat="1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3" fillId="13" borderId="5" xfId="0" applyFont="1" applyFill="1" applyBorder="1" applyAlignment="1">
      <alignment horizontal="center" vertical="center"/>
    </xf>
    <xf numFmtId="0" fontId="3" fillId="15" borderId="3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1" fontId="1" fillId="0" borderId="33" xfId="0" applyNumberFormat="1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0" fillId="0" borderId="34" xfId="0" applyBorder="1"/>
    <xf numFmtId="0" fontId="0" fillId="0" borderId="35" xfId="0" applyBorder="1"/>
    <xf numFmtId="44" fontId="5" fillId="11" borderId="6" xfId="1" applyFont="1" applyFill="1" applyBorder="1" applyAlignment="1">
      <alignment horizontal="center" vertical="center"/>
    </xf>
    <xf numFmtId="44" fontId="5" fillId="16" borderId="6" xfId="1" applyFont="1" applyFill="1" applyBorder="1" applyAlignment="1">
      <alignment horizontal="center" vertical="center"/>
    </xf>
    <xf numFmtId="44" fontId="5" fillId="12" borderId="6" xfId="0" applyNumberFormat="1" applyFont="1" applyFill="1" applyBorder="1" applyAlignment="1">
      <alignment horizontal="center" vertical="center"/>
    </xf>
    <xf numFmtId="44" fontId="5" fillId="16" borderId="6" xfId="0" applyNumberFormat="1" applyFont="1" applyFill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1" fontId="1" fillId="0" borderId="21" xfId="0" applyNumberFormat="1" applyFont="1" applyBorder="1" applyAlignment="1">
      <alignment horizontal="center" vertical="center"/>
    </xf>
    <xf numFmtId="0" fontId="0" fillId="4" borderId="6" xfId="0" applyFill="1" applyBorder="1" applyAlignment="1">
      <alignment horizontal="center"/>
    </xf>
    <xf numFmtId="1" fontId="0" fillId="0" borderId="22" xfId="0" applyNumberFormat="1" applyBorder="1" applyAlignment="1">
      <alignment horizontal="center" vertical="center" wrapText="1"/>
    </xf>
    <xf numFmtId="1" fontId="0" fillId="0" borderId="36" xfId="0" applyNumberFormat="1" applyBorder="1" applyAlignment="1">
      <alignment horizontal="center" vertical="center" wrapText="1"/>
    </xf>
    <xf numFmtId="0" fontId="0" fillId="0" borderId="37" xfId="0" applyBorder="1" applyAlignment="1">
      <alignment horizontal="center" vertical="center"/>
    </xf>
    <xf numFmtId="1" fontId="0" fillId="0" borderId="38" xfId="0" applyNumberFormat="1" applyBorder="1" applyAlignment="1">
      <alignment horizontal="center"/>
    </xf>
    <xf numFmtId="0" fontId="1" fillId="0" borderId="0" xfId="0" applyFont="1"/>
    <xf numFmtId="0" fontId="0" fillId="0" borderId="1" xfId="0" applyBorder="1"/>
    <xf numFmtId="44" fontId="0" fillId="0" borderId="1" xfId="1" applyFont="1" applyBorder="1"/>
    <xf numFmtId="0" fontId="1" fillId="14" borderId="1" xfId="0" applyFont="1" applyFill="1" applyBorder="1"/>
    <xf numFmtId="44" fontId="1" fillId="14" borderId="1" xfId="1" applyFont="1" applyFill="1" applyBorder="1"/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3" borderId="1" xfId="0" applyFill="1" applyBorder="1" applyAlignment="1">
      <alignment horizontal="center"/>
    </xf>
    <xf numFmtId="44" fontId="5" fillId="16" borderId="16" xfId="0" applyNumberFormat="1" applyFont="1" applyFill="1" applyBorder="1" applyAlignment="1">
      <alignment vertical="center"/>
    </xf>
    <xf numFmtId="44" fontId="5" fillId="16" borderId="17" xfId="0" applyNumberFormat="1" applyFont="1" applyFill="1" applyBorder="1" applyAlignment="1">
      <alignment vertical="center"/>
    </xf>
    <xf numFmtId="44" fontId="5" fillId="16" borderId="18" xfId="0" applyNumberFormat="1" applyFont="1" applyFill="1" applyBorder="1" applyAlignment="1">
      <alignment vertical="center"/>
    </xf>
    <xf numFmtId="44" fontId="5" fillId="12" borderId="16" xfId="0" applyNumberFormat="1" applyFont="1" applyFill="1" applyBorder="1" applyAlignment="1">
      <alignment vertical="center"/>
    </xf>
    <xf numFmtId="44" fontId="5" fillId="12" borderId="17" xfId="0" applyNumberFormat="1" applyFont="1" applyFill="1" applyBorder="1" applyAlignment="1">
      <alignment vertical="center"/>
    </xf>
    <xf numFmtId="44" fontId="5" fillId="12" borderId="18" xfId="0" applyNumberFormat="1" applyFont="1" applyFill="1" applyBorder="1" applyAlignment="1">
      <alignment vertical="center"/>
    </xf>
    <xf numFmtId="0" fontId="0" fillId="0" borderId="7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8" xfId="0" applyBorder="1" applyAlignment="1">
      <alignment horizontal="left" vertical="center"/>
    </xf>
    <xf numFmtId="0" fontId="3" fillId="8" borderId="10" xfId="0" applyFont="1" applyFill="1" applyBorder="1" applyAlignment="1">
      <alignment horizontal="center" vertical="center"/>
    </xf>
    <xf numFmtId="0" fontId="3" fillId="8" borderId="12" xfId="0" applyFont="1" applyFill="1" applyBorder="1" applyAlignment="1">
      <alignment horizontal="center" vertical="center"/>
    </xf>
    <xf numFmtId="0" fontId="3" fillId="8" borderId="14" xfId="0" applyFont="1" applyFill="1" applyBorder="1" applyAlignment="1">
      <alignment horizontal="center" vertical="center"/>
    </xf>
    <xf numFmtId="0" fontId="3" fillId="7" borderId="16" xfId="0" applyFont="1" applyFill="1" applyBorder="1" applyAlignment="1">
      <alignment horizontal="center" vertical="center"/>
    </xf>
    <xf numFmtId="0" fontId="3" fillId="7" borderId="17" xfId="0" applyFont="1" applyFill="1" applyBorder="1" applyAlignment="1">
      <alignment horizontal="center" vertical="center"/>
    </xf>
    <xf numFmtId="0" fontId="3" fillId="7" borderId="18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5" xfId="0" applyBorder="1" applyAlignment="1">
      <alignment horizontal="right"/>
    </xf>
    <xf numFmtId="0" fontId="0" fillId="0" borderId="9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11" xfId="0" applyBorder="1" applyAlignment="1">
      <alignment horizontal="right"/>
    </xf>
    <xf numFmtId="0" fontId="0" fillId="0" borderId="0" xfId="0" applyAlignment="1">
      <alignment horizontal="right"/>
    </xf>
    <xf numFmtId="0" fontId="0" fillId="3" borderId="7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44" fontId="5" fillId="11" borderId="16" xfId="0" applyNumberFormat="1" applyFont="1" applyFill="1" applyBorder="1" applyAlignment="1">
      <alignment vertical="center"/>
    </xf>
    <xf numFmtId="44" fontId="5" fillId="11" borderId="17" xfId="0" applyNumberFormat="1" applyFont="1" applyFill="1" applyBorder="1" applyAlignment="1">
      <alignment vertical="center"/>
    </xf>
    <xf numFmtId="44" fontId="5" fillId="11" borderId="18" xfId="0" applyNumberFormat="1" applyFont="1" applyFill="1" applyBorder="1" applyAlignment="1">
      <alignment vertical="center"/>
    </xf>
    <xf numFmtId="0" fontId="0" fillId="0" borderId="16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1" fontId="0" fillId="0" borderId="16" xfId="0" applyNumberForma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0" fontId="1" fillId="0" borderId="1" xfId="0" applyFont="1" applyBorder="1" applyAlignment="1">
      <alignment horizontal="center"/>
    </xf>
    <xf numFmtId="44" fontId="6" fillId="14" borderId="1" xfId="1" applyFont="1" applyFill="1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7"/>
  <sheetViews>
    <sheetView workbookViewId="0">
      <selection activeCell="A17" sqref="A17:H27"/>
    </sheetView>
  </sheetViews>
  <sheetFormatPr defaultRowHeight="14.4" x14ac:dyDescent="0.3"/>
  <cols>
    <col min="1" max="1" width="22.109375" customWidth="1"/>
    <col min="2" max="2" width="13.88671875" customWidth="1"/>
    <col min="5" max="5" width="22.109375" customWidth="1"/>
  </cols>
  <sheetData>
    <row r="1" spans="1:8" x14ac:dyDescent="0.3">
      <c r="A1" s="71" t="s">
        <v>20</v>
      </c>
      <c r="B1" s="71"/>
      <c r="C1" s="71"/>
      <c r="D1" s="71"/>
      <c r="E1" s="71"/>
      <c r="F1" s="71"/>
      <c r="G1" s="71"/>
      <c r="H1" s="71"/>
    </row>
    <row r="2" spans="1:8" x14ac:dyDescent="0.3">
      <c r="A2" s="69" t="s">
        <v>11</v>
      </c>
      <c r="B2" s="69"/>
      <c r="C2" s="69"/>
      <c r="D2" s="69"/>
      <c r="E2" s="69" t="s">
        <v>12</v>
      </c>
      <c r="F2" s="69"/>
      <c r="G2" s="69"/>
      <c r="H2" s="69"/>
    </row>
    <row r="3" spans="1:8" x14ac:dyDescent="0.3">
      <c r="A3" s="69"/>
      <c r="B3" s="69"/>
      <c r="C3" s="69" t="s">
        <v>19</v>
      </c>
      <c r="D3" s="69"/>
      <c r="E3" s="69"/>
      <c r="F3" s="69"/>
      <c r="G3" s="69" t="s">
        <v>19</v>
      </c>
      <c r="H3" s="69"/>
    </row>
    <row r="4" spans="1:8" x14ac:dyDescent="0.3">
      <c r="A4" s="69"/>
      <c r="B4" s="69"/>
      <c r="C4" s="1" t="s">
        <v>1</v>
      </c>
      <c r="D4" s="1" t="s">
        <v>2</v>
      </c>
      <c r="E4" s="69"/>
      <c r="F4" s="69"/>
      <c r="G4" s="1" t="s">
        <v>1</v>
      </c>
      <c r="H4" s="1" t="s">
        <v>2</v>
      </c>
    </row>
    <row r="5" spans="1:8" x14ac:dyDescent="0.3">
      <c r="A5" s="70" t="s">
        <v>0</v>
      </c>
      <c r="B5" s="70"/>
      <c r="C5" s="1">
        <v>12</v>
      </c>
      <c r="D5" s="1">
        <v>136</v>
      </c>
      <c r="E5" s="70" t="s">
        <v>13</v>
      </c>
      <c r="F5" s="70"/>
      <c r="G5" s="1">
        <v>4</v>
      </c>
      <c r="H5" s="1">
        <v>120</v>
      </c>
    </row>
    <row r="6" spans="1:8" x14ac:dyDescent="0.3">
      <c r="A6" s="70" t="s">
        <v>4</v>
      </c>
      <c r="B6" s="70"/>
      <c r="C6" s="1"/>
      <c r="D6" s="1"/>
      <c r="E6" s="70" t="s">
        <v>14</v>
      </c>
      <c r="F6" s="70"/>
      <c r="G6" s="1"/>
      <c r="H6" s="1"/>
    </row>
    <row r="7" spans="1:8" x14ac:dyDescent="0.3">
      <c r="A7" s="68" t="s">
        <v>5</v>
      </c>
      <c r="B7" s="68"/>
      <c r="C7" s="1">
        <v>2</v>
      </c>
      <c r="D7" s="1">
        <v>12</v>
      </c>
      <c r="E7" s="68" t="s">
        <v>15</v>
      </c>
      <c r="F7" s="68"/>
      <c r="G7" s="1">
        <v>4</v>
      </c>
      <c r="H7" s="1">
        <v>63</v>
      </c>
    </row>
    <row r="8" spans="1:8" x14ac:dyDescent="0.3">
      <c r="A8" s="68" t="s">
        <v>6</v>
      </c>
      <c r="B8" s="68"/>
      <c r="C8" s="1">
        <v>12</v>
      </c>
      <c r="D8" s="1">
        <v>24</v>
      </c>
      <c r="E8" s="68" t="s">
        <v>16</v>
      </c>
      <c r="F8" s="68"/>
      <c r="G8" s="1">
        <v>4</v>
      </c>
      <c r="H8" s="1">
        <v>100</v>
      </c>
    </row>
    <row r="9" spans="1:8" x14ac:dyDescent="0.3">
      <c r="A9" s="68" t="s">
        <v>7</v>
      </c>
      <c r="B9" s="68"/>
      <c r="C9" s="1">
        <v>24</v>
      </c>
      <c r="D9" s="1">
        <v>60</v>
      </c>
      <c r="E9" s="72"/>
      <c r="F9" s="73"/>
      <c r="G9" s="73"/>
      <c r="H9" s="74"/>
    </row>
    <row r="10" spans="1:8" x14ac:dyDescent="0.3">
      <c r="A10" s="70" t="s">
        <v>8</v>
      </c>
      <c r="B10" s="70"/>
      <c r="C10" s="1">
        <v>6</v>
      </c>
      <c r="D10" s="1">
        <v>30</v>
      </c>
      <c r="E10" s="72"/>
      <c r="F10" s="73"/>
      <c r="G10" s="73"/>
      <c r="H10" s="74"/>
    </row>
    <row r="11" spans="1:8" x14ac:dyDescent="0.3">
      <c r="A11" s="70" t="s">
        <v>9</v>
      </c>
      <c r="B11" s="70"/>
      <c r="C11" s="1">
        <v>42</v>
      </c>
      <c r="D11" s="1"/>
      <c r="E11" s="70" t="s">
        <v>17</v>
      </c>
      <c r="F11" s="70"/>
      <c r="G11" s="1">
        <v>3</v>
      </c>
      <c r="H11" s="1">
        <v>180</v>
      </c>
    </row>
    <row r="12" spans="1:8" x14ac:dyDescent="0.3">
      <c r="A12" s="70" t="s">
        <v>10</v>
      </c>
      <c r="B12" s="70"/>
      <c r="C12" s="1">
        <v>42</v>
      </c>
      <c r="D12" s="1"/>
      <c r="E12" s="70" t="s">
        <v>18</v>
      </c>
      <c r="F12" s="70"/>
      <c r="G12" s="1">
        <v>3</v>
      </c>
      <c r="H12" s="1">
        <v>63</v>
      </c>
    </row>
    <row r="14" spans="1:8" x14ac:dyDescent="0.3">
      <c r="C14" s="2" t="s">
        <v>21</v>
      </c>
      <c r="D14" s="2">
        <v>25.4</v>
      </c>
      <c r="E14" t="s">
        <v>22</v>
      </c>
    </row>
    <row r="15" spans="1:8" x14ac:dyDescent="0.3">
      <c r="A15" t="s">
        <v>29</v>
      </c>
    </row>
    <row r="16" spans="1:8" x14ac:dyDescent="0.3">
      <c r="A16" s="71" t="s">
        <v>20</v>
      </c>
      <c r="B16" s="71"/>
      <c r="C16" s="71"/>
      <c r="D16" s="71"/>
      <c r="E16" s="71"/>
      <c r="F16" s="71"/>
      <c r="G16" s="71"/>
      <c r="H16" s="71"/>
    </row>
    <row r="17" spans="1:8" x14ac:dyDescent="0.3">
      <c r="A17" s="69" t="s">
        <v>11</v>
      </c>
      <c r="B17" s="69"/>
      <c r="C17" s="69"/>
      <c r="D17" s="69"/>
      <c r="E17" s="69" t="s">
        <v>12</v>
      </c>
      <c r="F17" s="69"/>
      <c r="G17" s="69"/>
      <c r="H17" s="69"/>
    </row>
    <row r="18" spans="1:8" x14ac:dyDescent="0.3">
      <c r="A18" s="75"/>
      <c r="B18" s="75"/>
      <c r="C18" s="69" t="s">
        <v>3</v>
      </c>
      <c r="D18" s="69"/>
      <c r="E18" s="75"/>
      <c r="F18" s="75"/>
      <c r="G18" s="69" t="s">
        <v>3</v>
      </c>
      <c r="H18" s="69"/>
    </row>
    <row r="19" spans="1:8" x14ac:dyDescent="0.3">
      <c r="A19" s="75"/>
      <c r="B19" s="75"/>
      <c r="C19" s="1" t="s">
        <v>1</v>
      </c>
      <c r="D19" s="1" t="s">
        <v>2</v>
      </c>
      <c r="E19" s="75"/>
      <c r="F19" s="75"/>
      <c r="G19" s="1" t="s">
        <v>1</v>
      </c>
      <c r="H19" s="1" t="s">
        <v>2</v>
      </c>
    </row>
    <row r="20" spans="1:8" x14ac:dyDescent="0.3">
      <c r="A20" s="70" t="s">
        <v>0</v>
      </c>
      <c r="B20" s="70"/>
      <c r="C20" s="3">
        <f>C5*D14</f>
        <v>304.79999999999995</v>
      </c>
      <c r="D20" s="3">
        <f>D5*D14</f>
        <v>3454.3999999999996</v>
      </c>
      <c r="E20" s="70" t="s">
        <v>27</v>
      </c>
      <c r="F20" s="70"/>
      <c r="G20" s="3">
        <f>G5*D14</f>
        <v>101.6</v>
      </c>
      <c r="H20" s="1">
        <f>H5*D14</f>
        <v>3048</v>
      </c>
    </row>
    <row r="21" spans="1:8" x14ac:dyDescent="0.3">
      <c r="A21" s="70" t="s">
        <v>24</v>
      </c>
      <c r="B21" s="70"/>
      <c r="C21" s="1"/>
      <c r="D21" s="1"/>
      <c r="E21" s="70" t="s">
        <v>30</v>
      </c>
      <c r="F21" s="70"/>
      <c r="G21" s="1"/>
      <c r="H21" s="1"/>
    </row>
    <row r="22" spans="1:8" x14ac:dyDescent="0.3">
      <c r="A22" s="68" t="s">
        <v>5</v>
      </c>
      <c r="B22" s="68"/>
      <c r="C22" s="3">
        <f>C7*D14</f>
        <v>50.8</v>
      </c>
      <c r="D22" s="3">
        <f>D7*D14</f>
        <v>304.79999999999995</v>
      </c>
      <c r="E22" s="68" t="s">
        <v>15</v>
      </c>
      <c r="F22" s="68"/>
      <c r="G22" s="3">
        <f>G20</f>
        <v>101.6</v>
      </c>
      <c r="H22" s="3">
        <f>H7*D14</f>
        <v>1600.1999999999998</v>
      </c>
    </row>
    <row r="23" spans="1:8" x14ac:dyDescent="0.3">
      <c r="A23" s="68" t="s">
        <v>6</v>
      </c>
      <c r="B23" s="68"/>
      <c r="C23" s="3">
        <f>D22</f>
        <v>304.79999999999995</v>
      </c>
      <c r="D23" s="3">
        <f>D8*D14</f>
        <v>609.59999999999991</v>
      </c>
      <c r="E23" s="68" t="s">
        <v>16</v>
      </c>
      <c r="F23" s="68"/>
      <c r="G23" s="3">
        <f>G20</f>
        <v>101.6</v>
      </c>
      <c r="H23" s="1">
        <f>H8*D14</f>
        <v>2540</v>
      </c>
    </row>
    <row r="24" spans="1:8" x14ac:dyDescent="0.3">
      <c r="A24" s="68" t="s">
        <v>7</v>
      </c>
      <c r="B24" s="68"/>
      <c r="C24" s="3">
        <f>D23</f>
        <v>609.59999999999991</v>
      </c>
      <c r="D24" s="1">
        <f>D9*D14</f>
        <v>1524</v>
      </c>
      <c r="E24" s="72"/>
      <c r="F24" s="73"/>
      <c r="G24" s="73"/>
      <c r="H24" s="74"/>
    </row>
    <row r="25" spans="1:8" x14ac:dyDescent="0.3">
      <c r="A25" s="70" t="s">
        <v>25</v>
      </c>
      <c r="B25" s="70"/>
      <c r="C25" s="3">
        <f>C10*D14</f>
        <v>152.39999999999998</v>
      </c>
      <c r="D25" s="1">
        <f>D10*D14</f>
        <v>762</v>
      </c>
      <c r="E25" s="72"/>
      <c r="F25" s="73"/>
      <c r="G25" s="73"/>
      <c r="H25" s="74"/>
    </row>
    <row r="26" spans="1:8" x14ac:dyDescent="0.3">
      <c r="A26" s="70" t="s">
        <v>9</v>
      </c>
      <c r="B26" s="70"/>
      <c r="C26" s="3">
        <f>C11*D14</f>
        <v>1066.8</v>
      </c>
      <c r="D26" s="1" t="s">
        <v>23</v>
      </c>
      <c r="E26" s="70" t="s">
        <v>28</v>
      </c>
      <c r="F26" s="70"/>
      <c r="G26" s="3">
        <f>G11*D14</f>
        <v>76.199999999999989</v>
      </c>
      <c r="H26" s="1">
        <f>H11*D14</f>
        <v>4572</v>
      </c>
    </row>
    <row r="27" spans="1:8" x14ac:dyDescent="0.3">
      <c r="A27" s="70" t="s">
        <v>26</v>
      </c>
      <c r="B27" s="70"/>
      <c r="C27" s="3">
        <f>C26</f>
        <v>1066.8</v>
      </c>
      <c r="D27" s="1" t="s">
        <v>23</v>
      </c>
      <c r="E27" s="70" t="s">
        <v>18</v>
      </c>
      <c r="F27" s="70"/>
      <c r="G27" s="3">
        <f>G26</f>
        <v>76.199999999999989</v>
      </c>
      <c r="H27" s="3">
        <f>H12*D14</f>
        <v>1600.1999999999998</v>
      </c>
    </row>
  </sheetData>
  <mergeCells count="46">
    <mergeCell ref="A27:B27"/>
    <mergeCell ref="E27:F27"/>
    <mergeCell ref="A24:B24"/>
    <mergeCell ref="E24:H24"/>
    <mergeCell ref="A25:B25"/>
    <mergeCell ref="E25:H25"/>
    <mergeCell ref="A26:B26"/>
    <mergeCell ref="E26:F26"/>
    <mergeCell ref="A21:B21"/>
    <mergeCell ref="E21:F21"/>
    <mergeCell ref="A22:B22"/>
    <mergeCell ref="E22:F22"/>
    <mergeCell ref="A23:B23"/>
    <mergeCell ref="E23:F23"/>
    <mergeCell ref="A18:B19"/>
    <mergeCell ref="C18:D18"/>
    <mergeCell ref="E18:F19"/>
    <mergeCell ref="G18:H18"/>
    <mergeCell ref="A20:B20"/>
    <mergeCell ref="E20:F20"/>
    <mergeCell ref="A1:H1"/>
    <mergeCell ref="E9:H9"/>
    <mergeCell ref="E10:H10"/>
    <mergeCell ref="A16:H16"/>
    <mergeCell ref="A17:D17"/>
    <mergeCell ref="E17:H17"/>
    <mergeCell ref="E11:F11"/>
    <mergeCell ref="E12:F12"/>
    <mergeCell ref="C3:D3"/>
    <mergeCell ref="G3:H3"/>
    <mergeCell ref="A10:B10"/>
    <mergeCell ref="A11:B11"/>
    <mergeCell ref="A12:B12"/>
    <mergeCell ref="A2:D2"/>
    <mergeCell ref="E2:H2"/>
    <mergeCell ref="E3:F4"/>
    <mergeCell ref="A9:B9"/>
    <mergeCell ref="A3:B4"/>
    <mergeCell ref="E5:F5"/>
    <mergeCell ref="E6:F6"/>
    <mergeCell ref="E7:F7"/>
    <mergeCell ref="E8:F8"/>
    <mergeCell ref="A6:B6"/>
    <mergeCell ref="A5:B5"/>
    <mergeCell ref="A7:B7"/>
    <mergeCell ref="A8:B8"/>
  </mergeCell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3"/>
  <sheetViews>
    <sheetView topLeftCell="E1" workbookViewId="0">
      <selection activeCell="B15" sqref="A15:XFD27"/>
    </sheetView>
  </sheetViews>
  <sheetFormatPr defaultRowHeight="14.4" x14ac:dyDescent="0.3"/>
  <cols>
    <col min="2" max="2" width="31.33203125" customWidth="1"/>
    <col min="5" max="5" width="10" customWidth="1"/>
    <col min="6" max="6" width="10.109375" customWidth="1"/>
    <col min="7" max="7" width="31.6640625" customWidth="1"/>
    <col min="8" max="8" width="22.44140625" customWidth="1"/>
    <col min="9" max="9" width="15.44140625" customWidth="1"/>
    <col min="10" max="10" width="23.6640625" customWidth="1"/>
    <col min="11" max="11" width="26.33203125" customWidth="1"/>
    <col min="12" max="12" width="24.33203125" customWidth="1"/>
    <col min="13" max="13" width="25.44140625" customWidth="1"/>
    <col min="14" max="14" width="22.6640625" customWidth="1"/>
  </cols>
  <sheetData>
    <row r="1" spans="1:14" x14ac:dyDescent="0.3">
      <c r="A1" s="84" t="s">
        <v>29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4"/>
      <c r="N1" s="4"/>
    </row>
    <row r="2" spans="1:14" x14ac:dyDescent="0.3">
      <c r="A2" s="84" t="s">
        <v>20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4"/>
      <c r="N2" s="4"/>
    </row>
    <row r="3" spans="1:14" ht="15" thickBot="1" x14ac:dyDescent="0.35">
      <c r="A3" s="84" t="s">
        <v>11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4"/>
      <c r="N3" s="4"/>
    </row>
    <row r="4" spans="1:14" ht="15" thickBot="1" x14ac:dyDescent="0.35">
      <c r="A4" s="84"/>
      <c r="B4" s="84"/>
      <c r="C4" s="93" t="s">
        <v>3</v>
      </c>
      <c r="D4" s="94"/>
      <c r="E4" s="93" t="s">
        <v>33</v>
      </c>
      <c r="F4" s="94"/>
      <c r="G4" s="15" t="s">
        <v>31</v>
      </c>
      <c r="H4" s="15" t="s">
        <v>32</v>
      </c>
      <c r="I4" s="15" t="s">
        <v>35</v>
      </c>
      <c r="J4" s="15" t="s">
        <v>38</v>
      </c>
      <c r="K4" s="15" t="s">
        <v>48</v>
      </c>
      <c r="L4" s="15" t="s">
        <v>39</v>
      </c>
      <c r="M4" s="15" t="s">
        <v>40</v>
      </c>
      <c r="N4" s="15" t="s">
        <v>37</v>
      </c>
    </row>
    <row r="5" spans="1:14" ht="15" thickBot="1" x14ac:dyDescent="0.35">
      <c r="A5" s="92"/>
      <c r="B5" s="92"/>
      <c r="C5" s="10" t="s">
        <v>1</v>
      </c>
      <c r="D5" s="11" t="s">
        <v>2</v>
      </c>
      <c r="E5" s="10" t="s">
        <v>1</v>
      </c>
      <c r="F5" s="11" t="s">
        <v>2</v>
      </c>
      <c r="G5" s="26"/>
      <c r="H5" s="26"/>
      <c r="I5" s="26"/>
      <c r="J5" s="26"/>
      <c r="K5" s="26"/>
      <c r="L5" s="18">
        <v>5</v>
      </c>
      <c r="M5" s="18">
        <f>L5</f>
        <v>5</v>
      </c>
      <c r="N5" s="18">
        <f>L5</f>
        <v>5</v>
      </c>
    </row>
    <row r="6" spans="1:14" ht="72.599999999999994" thickBot="1" x14ac:dyDescent="0.35">
      <c r="A6" s="83" t="s">
        <v>0</v>
      </c>
      <c r="B6" s="83"/>
      <c r="C6" s="12">
        <v>304.79999999999995</v>
      </c>
      <c r="D6" s="13">
        <v>3454.3999999999996</v>
      </c>
      <c r="E6" s="13">
        <v>152.4</v>
      </c>
      <c r="F6" s="14">
        <v>457.2</v>
      </c>
      <c r="G6" s="16" t="s">
        <v>36</v>
      </c>
      <c r="H6" s="17" t="s">
        <v>34</v>
      </c>
      <c r="I6" s="17">
        <v>2.54</v>
      </c>
      <c r="J6" s="6">
        <v>500</v>
      </c>
      <c r="K6" s="7">
        <v>1800</v>
      </c>
      <c r="L6" s="54">
        <f>(((483.29*EXP(0.0334*(J6/25.4)))/0.3048)*L5)</f>
        <v>15300.404885258977</v>
      </c>
      <c r="M6" s="54">
        <f>((-1942*LN(K6/0.3048)+18137)/0.3048)*M5</f>
        <v>20888.589288669988</v>
      </c>
      <c r="N6" s="54">
        <f>((113*(J6/25.4)-0.384*(K6/0.3048)+1430)/0.3048)*N5</f>
        <v>22747.587161840987</v>
      </c>
    </row>
    <row r="7" spans="1:14" ht="15" thickBot="1" x14ac:dyDescent="0.35">
      <c r="A7" s="97" t="s">
        <v>24</v>
      </c>
      <c r="B7" s="98"/>
      <c r="C7" s="101"/>
      <c r="D7" s="102"/>
      <c r="E7" s="102"/>
      <c r="F7" s="103"/>
      <c r="G7" s="19" t="s">
        <v>42</v>
      </c>
      <c r="H7" s="26"/>
      <c r="I7" s="26"/>
      <c r="J7" s="26"/>
      <c r="K7" s="26"/>
      <c r="L7" s="26"/>
      <c r="M7" s="26"/>
      <c r="N7" s="26"/>
    </row>
    <row r="8" spans="1:14" ht="43.2" x14ac:dyDescent="0.3">
      <c r="A8" s="99" t="s">
        <v>5</v>
      </c>
      <c r="B8" s="100"/>
      <c r="C8" s="33">
        <v>50.8</v>
      </c>
      <c r="D8" s="34">
        <v>304.79999999999995</v>
      </c>
      <c r="E8" s="34"/>
      <c r="F8" s="35">
        <v>182.88</v>
      </c>
      <c r="G8" s="27" t="s">
        <v>43</v>
      </c>
      <c r="H8" s="21" t="s">
        <v>41</v>
      </c>
      <c r="I8" s="22" t="s">
        <v>47</v>
      </c>
      <c r="J8" s="86">
        <v>250</v>
      </c>
      <c r="K8" s="89">
        <v>76</v>
      </c>
      <c r="L8" s="104">
        <f>((3.9566*(J8/25.4)^1.3916)/0.3048)*L5</f>
        <v>1564.1698280816709</v>
      </c>
      <c r="M8" s="76">
        <f>((185.43*EXP(-0.0005*(K8/0.3048)))/0.3048)*M5</f>
        <v>2685.2870337582553</v>
      </c>
      <c r="N8" s="79">
        <f>((32*(J8/25.4)+0.00261*(K8/0.3048)-254)/0.3048)*N5</f>
        <v>1010.6859797052928</v>
      </c>
    </row>
    <row r="9" spans="1:14" x14ac:dyDescent="0.3">
      <c r="A9" s="99" t="s">
        <v>6</v>
      </c>
      <c r="B9" s="100"/>
      <c r="C9" s="36">
        <v>304.79999999999995</v>
      </c>
      <c r="D9" s="37">
        <v>609.59999999999991</v>
      </c>
      <c r="E9" s="37">
        <f>F8</f>
        <v>182.88</v>
      </c>
      <c r="F9" s="38">
        <v>274.32</v>
      </c>
      <c r="G9" s="28" t="s">
        <v>44</v>
      </c>
      <c r="H9" s="20" t="s">
        <v>46</v>
      </c>
      <c r="I9" s="23" t="s">
        <v>47</v>
      </c>
      <c r="J9" s="87"/>
      <c r="K9" s="90"/>
      <c r="L9" s="105"/>
      <c r="M9" s="77"/>
      <c r="N9" s="80"/>
    </row>
    <row r="10" spans="1:14" ht="15" thickBot="1" x14ac:dyDescent="0.35">
      <c r="A10" s="95" t="s">
        <v>7</v>
      </c>
      <c r="B10" s="96"/>
      <c r="C10" s="39">
        <v>609.59999999999991</v>
      </c>
      <c r="D10" s="40">
        <v>1524</v>
      </c>
      <c r="E10" s="41">
        <f>F9</f>
        <v>274.32</v>
      </c>
      <c r="F10" s="42">
        <v>3048</v>
      </c>
      <c r="G10" s="29" t="s">
        <v>45</v>
      </c>
      <c r="H10" s="24" t="s">
        <v>46</v>
      </c>
      <c r="I10" s="25" t="s">
        <v>47</v>
      </c>
      <c r="J10" s="88"/>
      <c r="K10" s="91"/>
      <c r="L10" s="106"/>
      <c r="M10" s="78"/>
      <c r="N10" s="81"/>
    </row>
    <row r="11" spans="1:14" ht="73.5" customHeight="1" thickBot="1" x14ac:dyDescent="0.35">
      <c r="A11" s="82" t="s">
        <v>25</v>
      </c>
      <c r="B11" s="85"/>
      <c r="C11" s="48">
        <v>152.39999999999998</v>
      </c>
      <c r="D11" s="49">
        <v>762</v>
      </c>
      <c r="E11" s="50"/>
      <c r="F11" s="51"/>
      <c r="G11" s="30"/>
      <c r="H11" s="31"/>
      <c r="I11" s="32"/>
      <c r="J11" s="8">
        <v>254</v>
      </c>
      <c r="K11" s="9">
        <v>4572</v>
      </c>
      <c r="L11" s="52">
        <f>((18.58*(J11/25.4)+130.3)/0.3048)*L5</f>
        <v>5185.3674540682414</v>
      </c>
      <c r="M11" s="52">
        <f>((181.7*((K11/0.3048)^0.084))/0.3048)*M5</f>
        <v>6685.0034347332476</v>
      </c>
      <c r="N11" s="52">
        <f>((21.4*(J11/25.4)+0.0068*(K11/0.3048)+52)/0.3048)*N5</f>
        <v>6036.7454068241468</v>
      </c>
    </row>
    <row r="12" spans="1:14" ht="51" customHeight="1" thickBot="1" x14ac:dyDescent="0.35">
      <c r="A12" s="82" t="s">
        <v>9</v>
      </c>
      <c r="B12" s="83"/>
      <c r="C12" s="33">
        <v>1066.8</v>
      </c>
      <c r="D12" s="43" t="s">
        <v>23</v>
      </c>
      <c r="E12" s="43"/>
      <c r="F12" s="44">
        <v>457.2</v>
      </c>
      <c r="G12" s="47" t="s">
        <v>50</v>
      </c>
      <c r="H12" s="16" t="s">
        <v>49</v>
      </c>
      <c r="I12" s="17">
        <v>2.54</v>
      </c>
      <c r="J12" s="45">
        <v>1200</v>
      </c>
      <c r="K12" s="46">
        <v>1500</v>
      </c>
      <c r="L12" s="52">
        <f>((48.149*(J12/25.4)-2200.9)/0.3048)*L5</f>
        <v>1211.5470064273493</v>
      </c>
      <c r="M12" s="53">
        <f>((-0.2387*(K12/0.3048)+2308.5)/0.3048)*M5</f>
        <v>18599.003864674396</v>
      </c>
      <c r="N12" s="52">
        <f>((50.2*(J12/25.4)+0.076*(K12/0.3048)-2562)/0.3048)*N5</f>
        <v>3012.9476925620529</v>
      </c>
    </row>
    <row r="13" spans="1:14" ht="57.75" customHeight="1" thickBot="1" x14ac:dyDescent="0.35">
      <c r="A13" s="82" t="s">
        <v>26</v>
      </c>
      <c r="B13" s="83"/>
      <c r="C13" s="39">
        <v>1066.8</v>
      </c>
      <c r="D13" s="40" t="s">
        <v>23</v>
      </c>
      <c r="E13" s="40"/>
      <c r="F13" s="42">
        <v>457.2</v>
      </c>
      <c r="G13" s="47" t="s">
        <v>50</v>
      </c>
      <c r="H13" s="16" t="s">
        <v>49</v>
      </c>
      <c r="I13" s="17">
        <v>2.54</v>
      </c>
      <c r="J13" s="45">
        <v>1200</v>
      </c>
      <c r="K13" s="46">
        <v>1500</v>
      </c>
      <c r="L13" s="52">
        <f>((12.47*(J13/25.4)^1.1474)/0.3048)*L5</f>
        <v>17059.560972414511</v>
      </c>
      <c r="M13" s="53">
        <f>((1124.5*(K13/0.3048)^0.0278)/0.3048)*M5</f>
        <v>23364.377926451267</v>
      </c>
      <c r="N13" s="52">
        <f>((33.6*(J13/25.4)-0.101*(K13/0.3048)+73)/0.3048)*N5</f>
        <v>19083.896501126335</v>
      </c>
    </row>
  </sheetData>
  <mergeCells count="20">
    <mergeCell ref="A2:L2"/>
    <mergeCell ref="A1:L1"/>
    <mergeCell ref="A11:B11"/>
    <mergeCell ref="J8:J10"/>
    <mergeCell ref="K8:K10"/>
    <mergeCell ref="A4:B5"/>
    <mergeCell ref="C4:D4"/>
    <mergeCell ref="A10:B10"/>
    <mergeCell ref="A7:B7"/>
    <mergeCell ref="A8:B8"/>
    <mergeCell ref="A9:B9"/>
    <mergeCell ref="E4:F4"/>
    <mergeCell ref="A6:B6"/>
    <mergeCell ref="C7:F7"/>
    <mergeCell ref="L8:L10"/>
    <mergeCell ref="M8:M10"/>
    <mergeCell ref="N8:N10"/>
    <mergeCell ref="A13:B13"/>
    <mergeCell ref="A3:L3"/>
    <mergeCell ref="A12:B12"/>
  </mergeCell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1"/>
  <sheetViews>
    <sheetView topLeftCell="F1" workbookViewId="0">
      <selection activeCell="A3" sqref="A3:L3"/>
    </sheetView>
  </sheetViews>
  <sheetFormatPr defaultRowHeight="14.4" x14ac:dyDescent="0.3"/>
  <cols>
    <col min="2" max="2" width="31.33203125" customWidth="1"/>
    <col min="5" max="5" width="10" customWidth="1"/>
    <col min="6" max="6" width="10.109375" customWidth="1"/>
    <col min="7" max="7" width="31.6640625" customWidth="1"/>
    <col min="8" max="8" width="22.44140625" customWidth="1"/>
    <col min="9" max="9" width="15.44140625" customWidth="1"/>
    <col min="10" max="10" width="23.6640625" customWidth="1"/>
    <col min="11" max="11" width="26.33203125" customWidth="1"/>
    <col min="12" max="12" width="24.33203125" customWidth="1"/>
    <col min="13" max="13" width="25.44140625" customWidth="1"/>
    <col min="14" max="14" width="22.6640625" customWidth="1"/>
  </cols>
  <sheetData>
    <row r="1" spans="1:14" x14ac:dyDescent="0.3">
      <c r="A1" s="84" t="s">
        <v>29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4"/>
      <c r="N1" s="4"/>
    </row>
    <row r="2" spans="1:14" x14ac:dyDescent="0.3">
      <c r="A2" s="84" t="s">
        <v>20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4"/>
      <c r="N2" s="4"/>
    </row>
    <row r="3" spans="1:14" ht="15" thickBot="1" x14ac:dyDescent="0.35">
      <c r="A3" s="84" t="s">
        <v>71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4"/>
      <c r="N3" s="4"/>
    </row>
    <row r="4" spans="1:14" ht="15" thickBot="1" x14ac:dyDescent="0.35">
      <c r="A4" s="84"/>
      <c r="B4" s="84"/>
      <c r="C4" s="93" t="s">
        <v>3</v>
      </c>
      <c r="D4" s="94"/>
      <c r="E4" s="93" t="s">
        <v>33</v>
      </c>
      <c r="F4" s="94"/>
      <c r="G4" s="15" t="s">
        <v>31</v>
      </c>
      <c r="H4" s="15" t="s">
        <v>32</v>
      </c>
      <c r="I4" s="15" t="s">
        <v>35</v>
      </c>
      <c r="J4" s="15" t="s">
        <v>38</v>
      </c>
      <c r="K4" s="15" t="s">
        <v>48</v>
      </c>
      <c r="L4" s="15" t="s">
        <v>39</v>
      </c>
      <c r="M4" s="15" t="s">
        <v>40</v>
      </c>
      <c r="N4" s="15" t="s">
        <v>37</v>
      </c>
    </row>
    <row r="5" spans="1:14" ht="15" thickBot="1" x14ac:dyDescent="0.35">
      <c r="A5" s="92"/>
      <c r="B5" s="92"/>
      <c r="C5" s="10" t="s">
        <v>1</v>
      </c>
      <c r="D5" s="11" t="s">
        <v>2</v>
      </c>
      <c r="E5" s="10" t="s">
        <v>52</v>
      </c>
      <c r="F5" s="11" t="s">
        <v>53</v>
      </c>
      <c r="G5" s="26"/>
      <c r="H5" s="26"/>
      <c r="I5" s="26"/>
      <c r="J5" s="26"/>
      <c r="K5" s="26"/>
      <c r="L5" s="18">
        <v>1</v>
      </c>
      <c r="M5" s="18">
        <f>L5</f>
        <v>1</v>
      </c>
      <c r="N5" s="18">
        <f>L5</f>
        <v>1</v>
      </c>
    </row>
    <row r="6" spans="1:14" ht="29.4" thickBot="1" x14ac:dyDescent="0.35">
      <c r="A6" s="83" t="s">
        <v>51</v>
      </c>
      <c r="B6" s="83"/>
      <c r="C6" s="12">
        <v>102</v>
      </c>
      <c r="D6" s="13">
        <v>3048</v>
      </c>
      <c r="E6" s="56">
        <v>914</v>
      </c>
      <c r="F6" s="14">
        <v>304.8</v>
      </c>
      <c r="G6" s="16" t="s">
        <v>54</v>
      </c>
      <c r="H6" s="16" t="s">
        <v>49</v>
      </c>
      <c r="I6" s="17"/>
      <c r="J6" s="6">
        <v>500</v>
      </c>
      <c r="K6" s="7">
        <v>1800</v>
      </c>
      <c r="L6" s="54">
        <f>(((3.132*(J6/25.4)^1.291))/0.3048)*L5</f>
        <v>481.4339780965451</v>
      </c>
      <c r="M6" s="55">
        <f>((-0.0034*(K6/0.3048)+349)/0.3048)*M5</f>
        <v>1079.1379916093165</v>
      </c>
      <c r="N6" s="54">
        <f>((13*(J6/25.4)-0.00032*(K6/0.3048)-65.8)/0.3048)*N5</f>
        <v>617.50573501147016</v>
      </c>
    </row>
    <row r="7" spans="1:14" ht="15" thickBot="1" x14ac:dyDescent="0.35">
      <c r="A7" s="97" t="s">
        <v>55</v>
      </c>
      <c r="B7" s="98"/>
      <c r="C7" s="30"/>
      <c r="D7" s="31"/>
      <c r="E7" s="58" t="s">
        <v>1</v>
      </c>
      <c r="F7" s="58" t="s">
        <v>2</v>
      </c>
      <c r="G7" s="19" t="s">
        <v>31</v>
      </c>
      <c r="H7" s="26"/>
      <c r="I7" s="26"/>
      <c r="J7" s="26"/>
      <c r="K7" s="26"/>
      <c r="L7" s="26"/>
      <c r="M7" s="26"/>
      <c r="N7" s="26"/>
    </row>
    <row r="8" spans="1:14" ht="63.75" customHeight="1" thickBot="1" x14ac:dyDescent="0.35">
      <c r="A8" s="99" t="s">
        <v>16</v>
      </c>
      <c r="B8" s="100"/>
      <c r="C8" s="33">
        <v>100</v>
      </c>
      <c r="D8" s="34">
        <v>2524</v>
      </c>
      <c r="E8" s="57">
        <v>304.5</v>
      </c>
      <c r="F8" s="35">
        <v>610</v>
      </c>
      <c r="G8" s="60" t="s">
        <v>57</v>
      </c>
      <c r="H8" s="107" t="s">
        <v>49</v>
      </c>
      <c r="I8" s="109"/>
      <c r="J8" s="86">
        <v>500</v>
      </c>
      <c r="K8" s="89">
        <v>1500</v>
      </c>
      <c r="L8" s="104">
        <f>((2.923*(J8/25.4)^1.295)/0.3048)*L5</f>
        <v>454.69517455041552</v>
      </c>
      <c r="M8" s="76">
        <f>(((-32.6*LN(K8/0.3048))+618)/0.3048)*M5</f>
        <v>1118.2971559787586</v>
      </c>
      <c r="N8" s="79">
        <f>((11.2*(J8/25.4)-0.00909*(K8/0.3048)-21.3)/0.3048)*N5</f>
        <v>506.68697170727671</v>
      </c>
    </row>
    <row r="9" spans="1:14" ht="40.5" customHeight="1" thickBot="1" x14ac:dyDescent="0.35">
      <c r="A9" s="99" t="s">
        <v>15</v>
      </c>
      <c r="B9" s="100"/>
      <c r="C9" s="36">
        <v>100</v>
      </c>
      <c r="D9" s="37">
        <v>1600</v>
      </c>
      <c r="E9" s="37">
        <v>305</v>
      </c>
      <c r="F9" s="38">
        <v>305</v>
      </c>
      <c r="G9" s="60" t="s">
        <v>56</v>
      </c>
      <c r="H9" s="108"/>
      <c r="I9" s="110"/>
      <c r="J9" s="87"/>
      <c r="K9" s="90"/>
      <c r="L9" s="105"/>
      <c r="M9" s="77"/>
      <c r="N9" s="80"/>
    </row>
    <row r="10" spans="1:14" ht="51" customHeight="1" thickBot="1" x14ac:dyDescent="0.35">
      <c r="A10" s="82" t="s">
        <v>58</v>
      </c>
      <c r="B10" s="85"/>
      <c r="C10" s="33">
        <v>76</v>
      </c>
      <c r="D10" s="43">
        <v>4572</v>
      </c>
      <c r="E10" s="43"/>
      <c r="F10" s="44">
        <v>152.4</v>
      </c>
      <c r="G10" s="47" t="s">
        <v>59</v>
      </c>
      <c r="H10" s="16" t="s">
        <v>49</v>
      </c>
      <c r="I10" s="17"/>
      <c r="J10" s="45">
        <v>1200</v>
      </c>
      <c r="K10" s="46">
        <v>1500</v>
      </c>
      <c r="L10" s="52">
        <f>((8.7*(J10/25.4)^0.7557)/0.3048)*L5</f>
        <v>525.78563666524826</v>
      </c>
      <c r="M10" s="53">
        <f>((-0.2387*(K10/0.3048)+2308.5)/0.3048)*M5</f>
        <v>3719.8007729348792</v>
      </c>
      <c r="N10" s="52">
        <f>((50.2*(J10/25.4)+0.076*(K10/0.3048)-2562)/0.3048)*N5</f>
        <v>602.58953851241063</v>
      </c>
    </row>
    <row r="11" spans="1:14" ht="78" customHeight="1" thickBot="1" x14ac:dyDescent="0.35">
      <c r="A11" s="82" t="s">
        <v>26</v>
      </c>
      <c r="B11" s="83"/>
      <c r="C11" s="39">
        <v>76</v>
      </c>
      <c r="D11" s="40">
        <v>1219</v>
      </c>
      <c r="E11" s="40"/>
      <c r="F11" s="42">
        <v>457.2</v>
      </c>
      <c r="G11" s="59" t="s">
        <v>60</v>
      </c>
      <c r="H11" s="16" t="s">
        <v>49</v>
      </c>
      <c r="I11" s="17"/>
      <c r="J11" s="45">
        <v>250</v>
      </c>
      <c r="K11" s="46">
        <v>350</v>
      </c>
      <c r="L11" s="52">
        <f>((12.48*(J11/25.4)+7.313)/0.3048)*L5</f>
        <v>426.99358815384295</v>
      </c>
      <c r="M11" s="53">
        <f>((141.5*EXP((K11/0.3048)*0.00005)/0.3048)*M5)</f>
        <v>491.67300444319437</v>
      </c>
      <c r="N11" s="52">
        <f>((12.4*(J11/25.4)-0.00099*(K11/0.3048)+12.3)/0.3048)*N5</f>
        <v>437.04210325087314</v>
      </c>
    </row>
  </sheetData>
  <mergeCells count="19">
    <mergeCell ref="A10:B10"/>
    <mergeCell ref="A11:B11"/>
    <mergeCell ref="H8:H9"/>
    <mergeCell ref="I8:I9"/>
    <mergeCell ref="L8:L9"/>
    <mergeCell ref="M8:M9"/>
    <mergeCell ref="N8:N9"/>
    <mergeCell ref="A9:B9"/>
    <mergeCell ref="A6:B6"/>
    <mergeCell ref="A7:B7"/>
    <mergeCell ref="A8:B8"/>
    <mergeCell ref="J8:J9"/>
    <mergeCell ref="K8:K9"/>
    <mergeCell ref="A1:L1"/>
    <mergeCell ref="A2:L2"/>
    <mergeCell ref="A3:L3"/>
    <mergeCell ref="A4:B5"/>
    <mergeCell ref="C4:D4"/>
    <mergeCell ref="E4:F4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6"/>
  <sheetViews>
    <sheetView topLeftCell="H1" workbookViewId="0">
      <selection activeCell="L19" sqref="L19"/>
    </sheetView>
  </sheetViews>
  <sheetFormatPr defaultRowHeight="14.4" x14ac:dyDescent="0.3"/>
  <cols>
    <col min="2" max="2" width="31.33203125" customWidth="1"/>
    <col min="5" max="5" width="10" customWidth="1"/>
    <col min="6" max="6" width="10.109375" customWidth="1"/>
    <col min="7" max="7" width="31.6640625" customWidth="1"/>
    <col min="8" max="8" width="22.44140625" customWidth="1"/>
    <col min="9" max="9" width="15.44140625" customWidth="1"/>
    <col min="10" max="10" width="23.6640625" customWidth="1"/>
    <col min="11" max="11" width="26.33203125" customWidth="1"/>
    <col min="12" max="12" width="24.33203125" customWidth="1"/>
    <col min="13" max="13" width="25.44140625" customWidth="1"/>
    <col min="14" max="14" width="22.6640625" customWidth="1"/>
  </cols>
  <sheetData>
    <row r="1" spans="1:14" x14ac:dyDescent="0.3">
      <c r="A1" s="84" t="s">
        <v>61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4"/>
      <c r="N1" s="4"/>
    </row>
    <row r="2" spans="1:14" x14ac:dyDescent="0.3">
      <c r="A2" s="84" t="s">
        <v>62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4"/>
      <c r="N2" s="4"/>
    </row>
    <row r="3" spans="1:14" ht="15" thickBot="1" x14ac:dyDescent="0.35">
      <c r="A3" s="84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4"/>
      <c r="N3" s="4"/>
    </row>
    <row r="4" spans="1:14" ht="15" thickBot="1" x14ac:dyDescent="0.35">
      <c r="A4" s="84"/>
      <c r="B4" s="84"/>
      <c r="C4" s="93" t="s">
        <v>3</v>
      </c>
      <c r="D4" s="94"/>
      <c r="E4" s="93" t="s">
        <v>33</v>
      </c>
      <c r="F4" s="94"/>
      <c r="G4" s="15" t="s">
        <v>31</v>
      </c>
      <c r="H4" s="15" t="s">
        <v>32</v>
      </c>
      <c r="I4" s="15" t="s">
        <v>35</v>
      </c>
      <c r="J4" s="15" t="s">
        <v>38</v>
      </c>
      <c r="K4" s="15" t="s">
        <v>48</v>
      </c>
      <c r="L4" s="15" t="s">
        <v>39</v>
      </c>
      <c r="M4" s="15" t="s">
        <v>40</v>
      </c>
      <c r="N4" s="15" t="s">
        <v>37</v>
      </c>
    </row>
    <row r="5" spans="1:14" ht="15" thickBot="1" x14ac:dyDescent="0.35">
      <c r="A5" s="92"/>
      <c r="B5" s="92"/>
      <c r="C5" s="10" t="s">
        <v>1</v>
      </c>
      <c r="D5" s="11" t="s">
        <v>2</v>
      </c>
      <c r="E5" s="10" t="s">
        <v>1</v>
      </c>
      <c r="F5" s="11" t="s">
        <v>2</v>
      </c>
      <c r="G5" s="26"/>
      <c r="H5" s="26"/>
      <c r="I5" s="26"/>
      <c r="J5" s="26"/>
      <c r="K5" s="26"/>
      <c r="L5" s="18">
        <v>1</v>
      </c>
      <c r="M5" s="18">
        <f>L5</f>
        <v>1</v>
      </c>
      <c r="N5" s="18">
        <f>L5</f>
        <v>1</v>
      </c>
    </row>
    <row r="6" spans="1:14" ht="29.4" thickBot="1" x14ac:dyDescent="0.35">
      <c r="A6" s="83" t="s">
        <v>63</v>
      </c>
      <c r="B6" s="83"/>
      <c r="C6" s="12">
        <v>20</v>
      </c>
      <c r="D6" s="61">
        <v>3556</v>
      </c>
      <c r="E6" s="17" t="s">
        <v>64</v>
      </c>
      <c r="F6" s="5" t="s">
        <v>64</v>
      </c>
      <c r="G6" s="16" t="s">
        <v>65</v>
      </c>
      <c r="H6" s="16" t="s">
        <v>49</v>
      </c>
      <c r="I6" s="17"/>
      <c r="J6" s="6">
        <v>500</v>
      </c>
      <c r="K6" s="7">
        <v>250</v>
      </c>
      <c r="L6" s="54">
        <f>(((91.63*EXP((J6/25.4)*0.0653))/0.3048)*L5)</f>
        <v>1087.1243250075368</v>
      </c>
      <c r="M6" s="55">
        <f>((3836.7*(K6/0.3048)^-0.4)/0.3048)*M5</f>
        <v>859.75133927823651</v>
      </c>
      <c r="N6" s="54">
        <f>((172*(J6/25.4)-2.2*(K6/0.3048)-1229)/0.3048)*N5</f>
        <v>1156.0525898829571</v>
      </c>
    </row>
  </sheetData>
  <mergeCells count="7">
    <mergeCell ref="A6:B6"/>
    <mergeCell ref="A1:L1"/>
    <mergeCell ref="A2:L2"/>
    <mergeCell ref="A3:L3"/>
    <mergeCell ref="A4:B5"/>
    <mergeCell ref="C4:D4"/>
    <mergeCell ref="E4:F4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1"/>
  <sheetViews>
    <sheetView tabSelected="1" workbookViewId="0">
      <selection activeCell="A13" sqref="A13"/>
    </sheetView>
  </sheetViews>
  <sheetFormatPr defaultRowHeight="14.4" x14ac:dyDescent="0.3"/>
  <cols>
    <col min="1" max="1" width="37.33203125" customWidth="1"/>
    <col min="2" max="2" width="29.33203125" customWidth="1"/>
    <col min="3" max="8" width="15.6640625" customWidth="1"/>
    <col min="9" max="9" width="14.44140625" customWidth="1"/>
    <col min="10" max="10" width="15.109375" customWidth="1"/>
    <col min="11" max="11" width="15.5546875" customWidth="1"/>
    <col min="12" max="12" width="14.6640625" customWidth="1"/>
    <col min="13" max="13" width="15.33203125" customWidth="1"/>
    <col min="14" max="14" width="14.109375" customWidth="1"/>
    <col min="15" max="15" width="13.88671875" customWidth="1"/>
    <col min="16" max="16" width="16.5546875" customWidth="1"/>
  </cols>
  <sheetData>
    <row r="1" spans="1:16" x14ac:dyDescent="0.3">
      <c r="A1" s="69" t="s">
        <v>11</v>
      </c>
      <c r="B1" s="69"/>
      <c r="C1" s="69"/>
      <c r="D1" s="69"/>
      <c r="E1" s="69" t="s">
        <v>71</v>
      </c>
      <c r="F1" s="69"/>
      <c r="G1" s="69"/>
      <c r="H1" s="69"/>
    </row>
    <row r="2" spans="1:16" x14ac:dyDescent="0.3">
      <c r="A2" s="75"/>
      <c r="B2" s="75"/>
      <c r="C2" s="69" t="s">
        <v>66</v>
      </c>
      <c r="D2" s="69"/>
      <c r="E2" s="75"/>
      <c r="F2" s="75"/>
      <c r="G2" s="69" t="str">
        <f>C2</f>
        <v>Custo Médio Total</v>
      </c>
      <c r="H2" s="69"/>
    </row>
    <row r="3" spans="1:16" x14ac:dyDescent="0.3">
      <c r="A3" s="75"/>
      <c r="B3" s="75"/>
      <c r="C3" s="1" t="s">
        <v>67</v>
      </c>
      <c r="D3" s="1" t="s">
        <v>68</v>
      </c>
      <c r="E3" s="75"/>
      <c r="F3" s="75"/>
      <c r="G3" s="1" t="str">
        <f>C3</f>
        <v>U$/pol/pé</v>
      </c>
      <c r="H3" s="1" t="str">
        <f>D3</f>
        <v>R$/mm/m</v>
      </c>
    </row>
    <row r="4" spans="1:16" x14ac:dyDescent="0.3">
      <c r="A4" s="70" t="s">
        <v>0</v>
      </c>
      <c r="B4" s="70"/>
      <c r="C4" s="3">
        <v>69.39</v>
      </c>
      <c r="D4" s="3">
        <f>$E$8*((C4/0.3048)/25.4)</f>
        <v>46.607043214086431</v>
      </c>
      <c r="E4" s="70" t="s">
        <v>27</v>
      </c>
      <c r="F4" s="70"/>
      <c r="G4" s="3">
        <v>9.4499999999999993</v>
      </c>
      <c r="H4" s="3">
        <f>$E$8*((G4/0.3048)/25.4)</f>
        <v>6.347262694525388</v>
      </c>
    </row>
    <row r="5" spans="1:16" x14ac:dyDescent="0.3">
      <c r="A5" s="70" t="s">
        <v>24</v>
      </c>
      <c r="B5" s="70"/>
      <c r="C5" s="1">
        <v>13.49</v>
      </c>
      <c r="D5" s="3">
        <f t="shared" ref="D5:D9" si="0">$E$8*((C5/0.3048)/25.4)</f>
        <v>9.060801454936243</v>
      </c>
      <c r="E5" s="70" t="s">
        <v>30</v>
      </c>
      <c r="F5" s="70"/>
      <c r="G5" s="1">
        <v>9.17</v>
      </c>
      <c r="H5" s="3">
        <f t="shared" ref="H5:H7" si="1">$E$8*((G5/0.3048)/25.4)</f>
        <v>6.1591956517246365</v>
      </c>
    </row>
    <row r="6" spans="1:16" x14ac:dyDescent="0.3">
      <c r="A6" s="70" t="s">
        <v>25</v>
      </c>
      <c r="B6" s="70"/>
      <c r="C6" s="3">
        <v>31.49</v>
      </c>
      <c r="D6" s="3">
        <f t="shared" si="0"/>
        <v>21.150825634984603</v>
      </c>
      <c r="E6" s="70" t="s">
        <v>28</v>
      </c>
      <c r="F6" s="70"/>
      <c r="G6" s="3">
        <v>4.0999999999999996</v>
      </c>
      <c r="H6" s="3">
        <f t="shared" si="1"/>
        <v>2.7538388410110155</v>
      </c>
    </row>
    <row r="7" spans="1:16" x14ac:dyDescent="0.3">
      <c r="A7" s="70" t="s">
        <v>9</v>
      </c>
      <c r="B7" s="70"/>
      <c r="C7" s="3">
        <v>18.87</v>
      </c>
      <c r="D7" s="3">
        <f t="shared" si="0"/>
        <v>12.674375348750697</v>
      </c>
      <c r="E7" s="111" t="s">
        <v>18</v>
      </c>
      <c r="F7" s="111"/>
      <c r="G7" s="62">
        <v>26.72</v>
      </c>
      <c r="H7" s="3">
        <f t="shared" si="1"/>
        <v>17.946969227271786</v>
      </c>
    </row>
    <row r="8" spans="1:16" x14ac:dyDescent="0.3">
      <c r="A8" s="70" t="s">
        <v>26</v>
      </c>
      <c r="B8" s="70"/>
      <c r="C8" s="3">
        <v>13.75</v>
      </c>
      <c r="D8" s="3">
        <f t="shared" si="0"/>
        <v>9.2354351375369408</v>
      </c>
      <c r="E8" s="113">
        <v>5.2</v>
      </c>
      <c r="F8" s="113"/>
      <c r="G8" s="113"/>
      <c r="H8" s="113"/>
    </row>
    <row r="9" spans="1:16" x14ac:dyDescent="0.3">
      <c r="A9" s="112" t="s">
        <v>69</v>
      </c>
      <c r="B9" s="112"/>
      <c r="C9" s="3">
        <v>57.31</v>
      </c>
      <c r="D9" s="3">
        <f t="shared" si="0"/>
        <v>38.493293653253978</v>
      </c>
      <c r="E9" s="113"/>
      <c r="F9" s="113"/>
      <c r="G9" s="113"/>
      <c r="H9" s="113"/>
    </row>
    <row r="11" spans="1:16" x14ac:dyDescent="0.3">
      <c r="A11" s="64" t="s">
        <v>70</v>
      </c>
      <c r="B11" s="1">
        <v>50</v>
      </c>
      <c r="C11" s="3">
        <v>100</v>
      </c>
      <c r="D11" s="1">
        <v>150</v>
      </c>
      <c r="E11" s="1">
        <v>200</v>
      </c>
      <c r="F11" s="1">
        <v>250</v>
      </c>
      <c r="G11" s="1">
        <v>300</v>
      </c>
      <c r="H11" s="1">
        <v>350</v>
      </c>
      <c r="I11" s="1">
        <v>400</v>
      </c>
      <c r="J11" s="1">
        <v>450</v>
      </c>
      <c r="K11" s="1">
        <v>500</v>
      </c>
      <c r="L11" s="1">
        <v>600</v>
      </c>
      <c r="M11" s="1">
        <v>800</v>
      </c>
      <c r="N11" s="1">
        <v>1000</v>
      </c>
      <c r="O11" s="1">
        <v>1200</v>
      </c>
      <c r="P11" s="1">
        <v>1500</v>
      </c>
    </row>
    <row r="12" spans="1:16" x14ac:dyDescent="0.3">
      <c r="A12" s="64" t="str">
        <f>A4</f>
        <v>Microtúnel</v>
      </c>
      <c r="B12" s="65">
        <f>B$11*$D4</f>
        <v>2330.3521607043217</v>
      </c>
      <c r="C12" s="65">
        <f>C$11*$D4</f>
        <v>4660.7043214086434</v>
      </c>
      <c r="D12" s="65">
        <f>D$11*$D4</f>
        <v>6991.0564821129647</v>
      </c>
      <c r="E12" s="65">
        <f>E$11*$D4</f>
        <v>9321.4086428172868</v>
      </c>
      <c r="F12" s="65">
        <f t="shared" ref="F12:P12" si="2">F$11*$D4</f>
        <v>11651.760803521607</v>
      </c>
      <c r="G12" s="65">
        <f t="shared" si="2"/>
        <v>13982.112964225929</v>
      </c>
      <c r="H12" s="65">
        <f t="shared" si="2"/>
        <v>16312.465124930251</v>
      </c>
      <c r="I12" s="65">
        <f t="shared" si="2"/>
        <v>18642.817285634574</v>
      </c>
      <c r="J12" s="65">
        <f t="shared" si="2"/>
        <v>20973.169446338896</v>
      </c>
      <c r="K12" s="65">
        <f t="shared" si="2"/>
        <v>23303.521607043214</v>
      </c>
      <c r="L12" s="65">
        <f t="shared" si="2"/>
        <v>27964.225928451859</v>
      </c>
      <c r="M12" s="65">
        <f t="shared" si="2"/>
        <v>37285.634571269147</v>
      </c>
      <c r="N12" s="65">
        <f t="shared" si="2"/>
        <v>46607.043214086429</v>
      </c>
      <c r="O12" s="65">
        <f t="shared" si="2"/>
        <v>55928.451856903717</v>
      </c>
      <c r="P12" s="65">
        <f t="shared" si="2"/>
        <v>69910.56482112965</v>
      </c>
    </row>
    <row r="13" spans="1:16" x14ac:dyDescent="0.3">
      <c r="A13" s="64" t="str">
        <f t="shared" ref="A13:A16" si="3">A5</f>
        <v>Perfuração horizontal direcional (HDD)</v>
      </c>
      <c r="B13" s="65">
        <f t="shared" ref="B13:C17" si="4">B$11*$D5</f>
        <v>453.04007274681214</v>
      </c>
      <c r="C13" s="65">
        <f>C$11*$D5</f>
        <v>906.08014549362429</v>
      </c>
      <c r="D13" s="65">
        <f>D$11*$D5</f>
        <v>1359.1202182404365</v>
      </c>
      <c r="E13" s="65">
        <f>E$11*$D5</f>
        <v>1812.1602909872486</v>
      </c>
      <c r="F13" s="65">
        <f t="shared" ref="F13:P13" si="5">F$11*$D5</f>
        <v>2265.2003637340608</v>
      </c>
      <c r="G13" s="65">
        <f t="shared" si="5"/>
        <v>2718.2404364808731</v>
      </c>
      <c r="H13" s="65">
        <f t="shared" si="5"/>
        <v>3171.2805092276849</v>
      </c>
      <c r="I13" s="65">
        <f t="shared" si="5"/>
        <v>3624.3205819744971</v>
      </c>
      <c r="J13" s="65">
        <f t="shared" si="5"/>
        <v>4077.3606547213094</v>
      </c>
      <c r="K13" s="65">
        <f t="shared" si="5"/>
        <v>4530.4007274681217</v>
      </c>
      <c r="L13" s="65">
        <f t="shared" si="5"/>
        <v>5436.4808729617462</v>
      </c>
      <c r="M13" s="65">
        <f t="shared" si="5"/>
        <v>7248.6411639489943</v>
      </c>
      <c r="N13" s="65">
        <f t="shared" si="5"/>
        <v>9060.8014549362433</v>
      </c>
      <c r="O13" s="65">
        <f t="shared" si="5"/>
        <v>10872.961745923492</v>
      </c>
      <c r="P13" s="65">
        <f t="shared" si="5"/>
        <v>13591.202182404364</v>
      </c>
    </row>
    <row r="14" spans="1:16" x14ac:dyDescent="0.3">
      <c r="A14" s="64" t="str">
        <f t="shared" si="3"/>
        <v>Microtúnel de tubo piloto (PTMT)</v>
      </c>
      <c r="B14" s="65">
        <f t="shared" si="4"/>
        <v>1057.5412817492302</v>
      </c>
      <c r="C14" s="65">
        <f t="shared" si="4"/>
        <v>2115.0825634984603</v>
      </c>
      <c r="D14" s="65">
        <f t="shared" ref="D14:E14" si="6">D$11*$D6</f>
        <v>3172.6238452476905</v>
      </c>
      <c r="E14" s="65">
        <f t="shared" si="6"/>
        <v>4230.1651269969207</v>
      </c>
      <c r="F14" s="65">
        <f t="shared" ref="F14:P14" si="7">F$11*$D6</f>
        <v>5287.7064087461504</v>
      </c>
      <c r="G14" s="65">
        <f t="shared" si="7"/>
        <v>6345.247690495381</v>
      </c>
      <c r="H14" s="65">
        <f t="shared" si="7"/>
        <v>7402.7889722446107</v>
      </c>
      <c r="I14" s="65">
        <f t="shared" si="7"/>
        <v>8460.3302539938413</v>
      </c>
      <c r="J14" s="65">
        <f t="shared" si="7"/>
        <v>9517.8715357430719</v>
      </c>
      <c r="K14" s="65">
        <f t="shared" si="7"/>
        <v>10575.412817492301</v>
      </c>
      <c r="L14" s="65">
        <f t="shared" si="7"/>
        <v>12690.495380990762</v>
      </c>
      <c r="M14" s="65">
        <f t="shared" si="7"/>
        <v>16920.660507987683</v>
      </c>
      <c r="N14" s="65">
        <f t="shared" si="7"/>
        <v>21150.825634984601</v>
      </c>
      <c r="O14" s="65">
        <f t="shared" si="7"/>
        <v>25380.990761981524</v>
      </c>
      <c r="P14" s="65">
        <f t="shared" si="7"/>
        <v>31726.238452476904</v>
      </c>
    </row>
    <row r="15" spans="1:16" x14ac:dyDescent="0.3">
      <c r="A15" s="64" t="str">
        <f t="shared" si="3"/>
        <v>Cravação de tubos</v>
      </c>
      <c r="B15" s="65">
        <f t="shared" si="4"/>
        <v>633.71876743753489</v>
      </c>
      <c r="C15" s="65">
        <f t="shared" si="4"/>
        <v>1267.4375348750698</v>
      </c>
      <c r="D15" s="65">
        <f t="shared" ref="D15:E15" si="8">D$11*$D7</f>
        <v>1901.1563023126046</v>
      </c>
      <c r="E15" s="65">
        <f t="shared" si="8"/>
        <v>2534.8750697501396</v>
      </c>
      <c r="F15" s="65">
        <f t="shared" ref="F15:P15" si="9">F$11*$D7</f>
        <v>3168.5938371876741</v>
      </c>
      <c r="G15" s="65">
        <f t="shared" si="9"/>
        <v>3802.3126046252091</v>
      </c>
      <c r="H15" s="65">
        <f t="shared" si="9"/>
        <v>4436.0313720627437</v>
      </c>
      <c r="I15" s="65">
        <f t="shared" si="9"/>
        <v>5069.7501395002791</v>
      </c>
      <c r="J15" s="65">
        <f t="shared" si="9"/>
        <v>5703.4689069378137</v>
      </c>
      <c r="K15" s="65">
        <f t="shared" si="9"/>
        <v>6337.1876743753483</v>
      </c>
      <c r="L15" s="65">
        <f t="shared" si="9"/>
        <v>7604.6252092504183</v>
      </c>
      <c r="M15" s="65">
        <f t="shared" si="9"/>
        <v>10139.500279000558</v>
      </c>
      <c r="N15" s="65">
        <f t="shared" si="9"/>
        <v>12674.375348750697</v>
      </c>
      <c r="O15" s="65">
        <f t="shared" si="9"/>
        <v>15209.250418500837</v>
      </c>
      <c r="P15" s="65">
        <f t="shared" si="9"/>
        <v>19011.563023126047</v>
      </c>
    </row>
    <row r="16" spans="1:16" x14ac:dyDescent="0.3">
      <c r="A16" s="64" t="str">
        <f t="shared" si="3"/>
        <v>Galerias técnicas (UT)</v>
      </c>
      <c r="B16" s="65">
        <f t="shared" si="4"/>
        <v>461.77175687684706</v>
      </c>
      <c r="C16" s="65">
        <f t="shared" si="4"/>
        <v>923.54351375369413</v>
      </c>
      <c r="D16" s="65">
        <f t="shared" ref="D16:E16" si="10">D$11*$D8</f>
        <v>1385.3152706305411</v>
      </c>
      <c r="E16" s="65">
        <f t="shared" si="10"/>
        <v>1847.0870275073883</v>
      </c>
      <c r="F16" s="65">
        <f t="shared" ref="F16:P16" si="11">F$11*$D8</f>
        <v>2308.8587843842352</v>
      </c>
      <c r="G16" s="65">
        <f t="shared" si="11"/>
        <v>2770.6305412610823</v>
      </c>
      <c r="H16" s="65">
        <f t="shared" si="11"/>
        <v>3232.4022981379294</v>
      </c>
      <c r="I16" s="65">
        <f t="shared" si="11"/>
        <v>3694.1740550147765</v>
      </c>
      <c r="J16" s="65">
        <f t="shared" si="11"/>
        <v>4155.9458118916236</v>
      </c>
      <c r="K16" s="65">
        <f t="shared" si="11"/>
        <v>4617.7175687684703</v>
      </c>
      <c r="L16" s="65">
        <f t="shared" si="11"/>
        <v>5541.2610825221645</v>
      </c>
      <c r="M16" s="65">
        <f t="shared" si="11"/>
        <v>7388.348110029553</v>
      </c>
      <c r="N16" s="65">
        <f t="shared" si="11"/>
        <v>9235.4351375369406</v>
      </c>
      <c r="O16" s="65">
        <f t="shared" si="11"/>
        <v>11082.522165044329</v>
      </c>
      <c r="P16" s="65">
        <f t="shared" si="11"/>
        <v>13853.152706305411</v>
      </c>
    </row>
    <row r="17" spans="1:16" s="63" customFormat="1" x14ac:dyDescent="0.3">
      <c r="A17" s="66" t="str">
        <f>A9</f>
        <v>Escavação à Céu Aberto - VCA</v>
      </c>
      <c r="B17" s="67">
        <f t="shared" si="4"/>
        <v>1924.6646826626989</v>
      </c>
      <c r="C17" s="67">
        <f t="shared" si="4"/>
        <v>3849.3293653253977</v>
      </c>
      <c r="D17" s="67">
        <f t="shared" ref="D17:E17" si="12">D$11*$D9</f>
        <v>5773.994047988097</v>
      </c>
      <c r="E17" s="67">
        <f t="shared" si="12"/>
        <v>7698.6587306507954</v>
      </c>
      <c r="F17" s="67">
        <f t="shared" ref="F17:P17" si="13">F$11*$D9</f>
        <v>9623.3234133134938</v>
      </c>
      <c r="G17" s="67">
        <f t="shared" si="13"/>
        <v>11547.988095976194</v>
      </c>
      <c r="H17" s="67">
        <f t="shared" si="13"/>
        <v>13472.652778638892</v>
      </c>
      <c r="I17" s="67">
        <f t="shared" si="13"/>
        <v>15397.317461301591</v>
      </c>
      <c r="J17" s="67">
        <f t="shared" si="13"/>
        <v>17321.982143964291</v>
      </c>
      <c r="K17" s="67">
        <f t="shared" si="13"/>
        <v>19246.646826626988</v>
      </c>
      <c r="L17" s="67">
        <f t="shared" si="13"/>
        <v>23095.976191952388</v>
      </c>
      <c r="M17" s="67">
        <f t="shared" si="13"/>
        <v>30794.634922603182</v>
      </c>
      <c r="N17" s="67">
        <f t="shared" si="13"/>
        <v>38493.293653253975</v>
      </c>
      <c r="O17" s="67">
        <f t="shared" si="13"/>
        <v>46191.952383904776</v>
      </c>
      <c r="P17" s="67">
        <f t="shared" si="13"/>
        <v>57739.94047988097</v>
      </c>
    </row>
    <row r="18" spans="1:16" x14ac:dyDescent="0.3">
      <c r="A18" s="64" t="str">
        <f>E4</f>
        <v>Tubulação curada in loco (CIPP)</v>
      </c>
      <c r="B18" s="65">
        <f>B$11*$H4</f>
        <v>317.36313472626938</v>
      </c>
      <c r="C18" s="65">
        <f>C$11*$H4</f>
        <v>634.72626945253876</v>
      </c>
      <c r="D18" s="65">
        <f>D$11*$H4</f>
        <v>952.08940417880819</v>
      </c>
      <c r="E18" s="65">
        <f>E$11*$H4</f>
        <v>1269.4525389050775</v>
      </c>
      <c r="F18" s="65">
        <f t="shared" ref="F18:P18" si="14">F$11*$H4</f>
        <v>1586.815673631347</v>
      </c>
      <c r="G18" s="65">
        <f t="shared" si="14"/>
        <v>1904.1788083576164</v>
      </c>
      <c r="H18" s="65">
        <f t="shared" si="14"/>
        <v>2221.5419430838856</v>
      </c>
      <c r="I18" s="65">
        <f t="shared" si="14"/>
        <v>2538.905077810155</v>
      </c>
      <c r="J18" s="65">
        <f t="shared" si="14"/>
        <v>2856.2682125364245</v>
      </c>
      <c r="K18" s="65">
        <f t="shared" si="14"/>
        <v>3173.6313472626939</v>
      </c>
      <c r="L18" s="65">
        <f t="shared" si="14"/>
        <v>3808.3576167152328</v>
      </c>
      <c r="M18" s="65">
        <f t="shared" si="14"/>
        <v>5077.8101556203101</v>
      </c>
      <c r="N18" s="65">
        <f t="shared" si="14"/>
        <v>6347.2626945253878</v>
      </c>
      <c r="O18" s="65">
        <f t="shared" si="14"/>
        <v>7616.7152334304656</v>
      </c>
      <c r="P18" s="65">
        <f t="shared" si="14"/>
        <v>9520.8940417880822</v>
      </c>
    </row>
    <row r="19" spans="1:16" x14ac:dyDescent="0.3">
      <c r="A19" s="64" t="str">
        <f t="shared" ref="A19:A20" si="15">E5</f>
        <v>Revestimento por inserção</v>
      </c>
      <c r="B19" s="65">
        <f t="shared" ref="B19:D21" si="16">B$11*$H5</f>
        <v>307.95978258623182</v>
      </c>
      <c r="C19" s="65">
        <f t="shared" si="16"/>
        <v>615.91956517246365</v>
      </c>
      <c r="D19" s="65">
        <f t="shared" si="16"/>
        <v>923.87934775869542</v>
      </c>
      <c r="E19" s="65">
        <f t="shared" ref="E19:P19" si="17">E$11*$H5</f>
        <v>1231.8391303449273</v>
      </c>
      <c r="F19" s="65">
        <f t="shared" si="17"/>
        <v>1539.7989129311591</v>
      </c>
      <c r="G19" s="65">
        <f t="shared" si="17"/>
        <v>1847.7586955173908</v>
      </c>
      <c r="H19" s="65">
        <f t="shared" si="17"/>
        <v>2155.7184781036226</v>
      </c>
      <c r="I19" s="65">
        <f t="shared" si="17"/>
        <v>2463.6782606898546</v>
      </c>
      <c r="J19" s="65">
        <f t="shared" si="17"/>
        <v>2771.6380432760866</v>
      </c>
      <c r="K19" s="65">
        <f t="shared" si="17"/>
        <v>3079.5978258623181</v>
      </c>
      <c r="L19" s="65">
        <f t="shared" si="17"/>
        <v>3695.5173910347817</v>
      </c>
      <c r="M19" s="65">
        <f t="shared" si="17"/>
        <v>4927.3565213797092</v>
      </c>
      <c r="N19" s="65">
        <f t="shared" si="17"/>
        <v>6159.1956517246363</v>
      </c>
      <c r="O19" s="65">
        <f t="shared" si="17"/>
        <v>7391.0347820695633</v>
      </c>
      <c r="P19" s="65">
        <f t="shared" si="17"/>
        <v>9238.7934775869544</v>
      </c>
    </row>
    <row r="20" spans="1:16" x14ac:dyDescent="0.3">
      <c r="A20" s="64" t="str">
        <f t="shared" si="15"/>
        <v>Tubo de Aspersão in loco (SIPP)</v>
      </c>
      <c r="B20" s="65">
        <f t="shared" si="16"/>
        <v>137.69194205055078</v>
      </c>
      <c r="C20" s="65">
        <f t="shared" si="16"/>
        <v>275.38388410110156</v>
      </c>
      <c r="D20" s="65">
        <f t="shared" si="16"/>
        <v>413.07582615165234</v>
      </c>
      <c r="E20" s="65">
        <f t="shared" ref="E20:P20" si="18">E$11*$H6</f>
        <v>550.76776820220311</v>
      </c>
      <c r="F20" s="65">
        <f t="shared" si="18"/>
        <v>688.45971025275389</v>
      </c>
      <c r="G20" s="65">
        <f t="shared" si="18"/>
        <v>826.15165230330467</v>
      </c>
      <c r="H20" s="65">
        <f t="shared" si="18"/>
        <v>963.84359435385545</v>
      </c>
      <c r="I20" s="65">
        <f t="shared" si="18"/>
        <v>1101.5355364044062</v>
      </c>
      <c r="J20" s="65">
        <f t="shared" si="18"/>
        <v>1239.227478454957</v>
      </c>
      <c r="K20" s="65">
        <f t="shared" si="18"/>
        <v>1376.9194205055078</v>
      </c>
      <c r="L20" s="65">
        <f t="shared" si="18"/>
        <v>1652.3033046066093</v>
      </c>
      <c r="M20" s="65">
        <f t="shared" si="18"/>
        <v>2203.0710728088125</v>
      </c>
      <c r="N20" s="65">
        <f t="shared" si="18"/>
        <v>2753.8388410110156</v>
      </c>
      <c r="O20" s="65">
        <f t="shared" si="18"/>
        <v>3304.6066092132187</v>
      </c>
      <c r="P20" s="65">
        <f t="shared" si="18"/>
        <v>4130.7582615165229</v>
      </c>
    </row>
    <row r="21" spans="1:16" x14ac:dyDescent="0.3">
      <c r="A21" s="64" t="str">
        <f>E7</f>
        <v>Substituição por arrebentamento</v>
      </c>
      <c r="B21" s="65">
        <f t="shared" si="16"/>
        <v>897.34846136358931</v>
      </c>
      <c r="C21" s="65">
        <f t="shared" si="16"/>
        <v>1794.6969227271786</v>
      </c>
      <c r="D21" s="65">
        <f t="shared" si="16"/>
        <v>2692.045384090768</v>
      </c>
      <c r="E21" s="65">
        <f t="shared" ref="E21:P21" si="19">E$11*$H7</f>
        <v>3589.3938454543572</v>
      </c>
      <c r="F21" s="65">
        <f t="shared" si="19"/>
        <v>4486.7423068179469</v>
      </c>
      <c r="G21" s="65">
        <f t="shared" si="19"/>
        <v>5384.0907681815361</v>
      </c>
      <c r="H21" s="65">
        <f t="shared" si="19"/>
        <v>6281.4392295451253</v>
      </c>
      <c r="I21" s="65">
        <f t="shared" si="19"/>
        <v>7178.7876909087145</v>
      </c>
      <c r="J21" s="65">
        <f t="shared" si="19"/>
        <v>8076.1361522723037</v>
      </c>
      <c r="K21" s="65">
        <f t="shared" si="19"/>
        <v>8973.4846136358938</v>
      </c>
      <c r="L21" s="65">
        <f t="shared" si="19"/>
        <v>10768.181536363072</v>
      </c>
      <c r="M21" s="65">
        <f t="shared" si="19"/>
        <v>14357.575381817429</v>
      </c>
      <c r="N21" s="65">
        <f t="shared" si="19"/>
        <v>17946.969227271788</v>
      </c>
      <c r="O21" s="65">
        <f t="shared" si="19"/>
        <v>21536.363072726144</v>
      </c>
      <c r="P21" s="65">
        <f t="shared" si="19"/>
        <v>26920.453840907681</v>
      </c>
    </row>
  </sheetData>
  <mergeCells count="17">
    <mergeCell ref="A7:B7"/>
    <mergeCell ref="E6:F6"/>
    <mergeCell ref="A8:B8"/>
    <mergeCell ref="E7:F7"/>
    <mergeCell ref="A9:B9"/>
    <mergeCell ref="E8:H9"/>
    <mergeCell ref="A6:B6"/>
    <mergeCell ref="A4:B4"/>
    <mergeCell ref="E4:F4"/>
    <mergeCell ref="A5:B5"/>
    <mergeCell ref="E5:F5"/>
    <mergeCell ref="A1:D1"/>
    <mergeCell ref="E1:H1"/>
    <mergeCell ref="A2:B3"/>
    <mergeCell ref="C2:D2"/>
    <mergeCell ref="E2:F3"/>
    <mergeCell ref="G2:H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 Imp - BR</vt:lpstr>
      <vt:lpstr>MNDI</vt:lpstr>
      <vt:lpstr>MNDR</vt:lpstr>
      <vt:lpstr>VCA</vt:lpstr>
      <vt:lpstr>CUSTO MÉDIO TABELA 1.29 PG 39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Motta</dc:creator>
  <cp:lastModifiedBy>Sergio Palazzo</cp:lastModifiedBy>
  <dcterms:created xsi:type="dcterms:W3CDTF">2021-07-06T17:30:00Z</dcterms:created>
  <dcterms:modified xsi:type="dcterms:W3CDTF">2026-02-15T22:03:28Z</dcterms:modified>
</cp:coreProperties>
</file>